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21" activeTab="24"/>
  </bookViews>
  <sheets>
    <sheet name="มาตรฐาน3" sheetId="1" r:id="rId1"/>
    <sheet name="มาตรฐาน2" sheetId="2" r:id="rId2"/>
    <sheet name="มาตรฐาน1" sheetId="3" r:id="rId3"/>
    <sheet name="รายการปรับปรุง" sheetId="4" r:id="rId4"/>
    <sheet name="ปรับปรุง51" sheetId="5" r:id="rId5"/>
    <sheet name="ปรับปรุง53" sheetId="6" r:id="rId6"/>
    <sheet name="สรุป51" sheetId="7" r:id="rId7"/>
    <sheet name="งบทดลองหลังปิดบัญชี51" sheetId="8" r:id="rId8"/>
    <sheet name="งบเงินสะสม" sheetId="9" r:id="rId9"/>
    <sheet name="ค้าง51จ่าย52" sheetId="11" r:id="rId10"/>
    <sheet name="ค้าง50จ่าย51" sheetId="12" r:id="rId11"/>
    <sheet name="ค้าง31ก.ค.51" sheetId="13" r:id="rId12"/>
    <sheet name="รายงานจ่ายเงินสะสม" sheetId="14" r:id="rId13"/>
    <sheet name="Sheet1" sheetId="15" r:id="rId14"/>
    <sheet name="กระทบยอด" sheetId="16" r:id="rId15"/>
    <sheet name="Sheet2" sheetId="17" r:id="rId16"/>
    <sheet name="ทรัพย์สิน50" sheetId="18" r:id="rId17"/>
    <sheet name="ทรัพย์สิน51" sheetId="19" r:id="rId18"/>
    <sheet name="ทรัพย์สิน52" sheetId="20" r:id="rId19"/>
    <sheet name="ทรัพย์สิน53" sheetId="21" r:id="rId20"/>
    <sheet name="ทรัพย์สิน54" sheetId="22" r:id="rId21"/>
    <sheet name="ทรัพย์สิน55" sheetId="23" r:id="rId22"/>
    <sheet name="ทรัพย์สิน51(แก้ไข)" sheetId="28" r:id="rId23"/>
    <sheet name="ประกอบทรัพย์สินแก้ไข" sheetId="29" r:id="rId24"/>
    <sheet name="งบแสดงฐานะการเงิน" sheetId="10" r:id="rId25"/>
    <sheet name="หมายเหตุ1" sheetId="24" r:id="rId26"/>
    <sheet name="Sheet4" sheetId="25" r:id="rId27"/>
    <sheet name="Sheet5" sheetId="26" r:id="rId28"/>
    <sheet name="Sheet3" sheetId="27" r:id="rId29"/>
  </sheets>
  <externalReferences>
    <externalReference r:id="rId30"/>
  </externalReferences>
  <calcPr calcId="124519"/>
</workbook>
</file>

<file path=xl/calcChain.xml><?xml version="1.0" encoding="utf-8"?>
<calcChain xmlns="http://schemas.openxmlformats.org/spreadsheetml/2006/main">
  <c r="B26" i="28"/>
  <c r="D7"/>
  <c r="D26" s="1"/>
  <c r="E25" i="29"/>
  <c r="C25"/>
  <c r="B25"/>
  <c r="B22"/>
  <c r="E22" s="1"/>
  <c r="C21"/>
  <c r="B21"/>
  <c r="E21" s="1"/>
  <c r="B20"/>
  <c r="E20" s="1"/>
  <c r="B19"/>
  <c r="E19" s="1"/>
  <c r="C18"/>
  <c r="B18"/>
  <c r="E18" s="1"/>
  <c r="C17"/>
  <c r="B17"/>
  <c r="E17" s="1"/>
  <c r="C16"/>
  <c r="B16"/>
  <c r="E16" s="1"/>
  <c r="C15"/>
  <c r="B15"/>
  <c r="E15" s="1"/>
  <c r="D25"/>
  <c r="E13"/>
  <c r="B12"/>
  <c r="E12" s="1"/>
  <c r="B11"/>
  <c r="E11" s="1"/>
  <c r="C10"/>
  <c r="B10"/>
  <c r="E10" s="1"/>
  <c r="B9"/>
  <c r="E9" s="1"/>
  <c r="B8"/>
  <c r="E8" s="1"/>
  <c r="E17" i="27"/>
  <c r="E15"/>
  <c r="D15"/>
  <c r="E14"/>
  <c r="E13"/>
  <c r="E12"/>
  <c r="E11"/>
  <c r="E10"/>
  <c r="E9"/>
  <c r="E8"/>
  <c r="E7"/>
  <c r="E6"/>
  <c r="E5"/>
  <c r="E4"/>
  <c r="E3"/>
  <c r="F6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C60"/>
  <c r="D60"/>
  <c r="E60"/>
  <c r="E62"/>
  <c r="C15" l="1"/>
  <c r="D30" i="26"/>
  <c r="C30"/>
  <c r="B30"/>
  <c r="E22"/>
  <c r="E11"/>
  <c r="E10"/>
  <c r="E30" s="1"/>
  <c r="D20" i="25"/>
  <c r="D14" i="24" l="1"/>
  <c r="C23" i="10"/>
  <c r="C16"/>
  <c r="C12"/>
  <c r="C33" i="17"/>
  <c r="E10" s="1"/>
  <c r="E33" s="1"/>
  <c r="C21" i="23"/>
  <c r="C22"/>
  <c r="C20"/>
  <c r="C19"/>
  <c r="C18"/>
  <c r="C23"/>
  <c r="C17"/>
  <c r="D27"/>
  <c r="C27"/>
  <c r="D15"/>
  <c r="D29" s="1"/>
  <c r="C15"/>
  <c r="C29" s="1"/>
  <c r="C19" i="22"/>
  <c r="C18"/>
  <c r="C17"/>
  <c r="D27"/>
  <c r="C27"/>
  <c r="D15"/>
  <c r="D29" s="1"/>
  <c r="C15"/>
  <c r="C29" s="1"/>
  <c r="C26" i="21"/>
  <c r="E26" s="1"/>
  <c r="B26" i="22" s="1"/>
  <c r="E26" s="1"/>
  <c r="B26" i="23" s="1"/>
  <c r="E26" s="1"/>
  <c r="C20" i="21"/>
  <c r="C23"/>
  <c r="C24"/>
  <c r="C21"/>
  <c r="E14" i="20"/>
  <c r="B14" i="21" s="1"/>
  <c r="E14" s="1"/>
  <c r="B14" i="22" s="1"/>
  <c r="E14" s="1"/>
  <c r="B14" i="23" s="1"/>
  <c r="E14" s="1"/>
  <c r="E13" i="20"/>
  <c r="B13" i="21" s="1"/>
  <c r="E13" s="1"/>
  <c r="B13" i="22" s="1"/>
  <c r="E13" s="1"/>
  <c r="B13" i="23" s="1"/>
  <c r="E13" s="1"/>
  <c r="E13" i="19"/>
  <c r="D27" i="21"/>
  <c r="C27"/>
  <c r="D15"/>
  <c r="D29" s="1"/>
  <c r="B12"/>
  <c r="E12" s="1"/>
  <c r="B12" i="22" s="1"/>
  <c r="E12" s="1"/>
  <c r="B12" i="23" s="1"/>
  <c r="E12" s="1"/>
  <c r="C15" i="21"/>
  <c r="C29" s="1"/>
  <c r="C7" i="20"/>
  <c r="C21"/>
  <c r="C26"/>
  <c r="E26" s="1"/>
  <c r="B25" i="21" s="1"/>
  <c r="E25" s="1"/>
  <c r="B25" i="22" s="1"/>
  <c r="E25" s="1"/>
  <c r="B25" i="23" s="1"/>
  <c r="E25" s="1"/>
  <c r="C23" i="20"/>
  <c r="C24"/>
  <c r="C18"/>
  <c r="C20"/>
  <c r="B12"/>
  <c r="E12" s="1"/>
  <c r="D27"/>
  <c r="C27"/>
  <c r="D15"/>
  <c r="D29" s="1"/>
  <c r="C15"/>
  <c r="C29" s="1"/>
  <c r="B8"/>
  <c r="E8" s="1"/>
  <c r="B8" i="21" s="1"/>
  <c r="E8" s="1"/>
  <c r="B8" i="22" s="1"/>
  <c r="E8" s="1"/>
  <c r="B8" i="23" s="1"/>
  <c r="E8" s="1"/>
  <c r="C10" i="19"/>
  <c r="C23"/>
  <c r="C19"/>
  <c r="C18"/>
  <c r="C17"/>
  <c r="C20"/>
  <c r="B27"/>
  <c r="B24"/>
  <c r="B23"/>
  <c r="B22"/>
  <c r="B21"/>
  <c r="B20"/>
  <c r="B19"/>
  <c r="B18"/>
  <c r="B17"/>
  <c r="B16"/>
  <c r="B12"/>
  <c r="B11"/>
  <c r="B10"/>
  <c r="B9"/>
  <c r="B8"/>
  <c r="B7"/>
  <c r="D25"/>
  <c r="E24"/>
  <c r="E23"/>
  <c r="B24" i="20" s="1"/>
  <c r="E24" s="1"/>
  <c r="B23" i="21" s="1"/>
  <c r="E22" i="19"/>
  <c r="E21"/>
  <c r="E20"/>
  <c r="B21" i="20" s="1"/>
  <c r="E21" s="1"/>
  <c r="B20" i="21" s="1"/>
  <c r="E19" i="19"/>
  <c r="B20" i="20" s="1"/>
  <c r="E20" s="1"/>
  <c r="B19" i="21" s="1"/>
  <c r="E19" s="1"/>
  <c r="B19" i="22" s="1"/>
  <c r="E19" s="1"/>
  <c r="B19" i="23" s="1"/>
  <c r="E19" s="1"/>
  <c r="E18" i="19"/>
  <c r="B19" i="20" s="1"/>
  <c r="E19" s="1"/>
  <c r="B18" i="21" s="1"/>
  <c r="E18" s="1"/>
  <c r="B18" i="22" s="1"/>
  <c r="E18" s="1"/>
  <c r="B18" i="23" s="1"/>
  <c r="E18" s="1"/>
  <c r="C25" i="19"/>
  <c r="E16" s="1"/>
  <c r="D14"/>
  <c r="D27" s="1"/>
  <c r="E12"/>
  <c r="B11" i="20" s="1"/>
  <c r="E11" s="1"/>
  <c r="B11" i="21" s="1"/>
  <c r="E11" s="1"/>
  <c r="B11" i="22" s="1"/>
  <c r="E11" s="1"/>
  <c r="B11" i="23" s="1"/>
  <c r="E11" s="1"/>
  <c r="E11" i="19"/>
  <c r="B10" i="20" s="1"/>
  <c r="E10" s="1"/>
  <c r="B10" i="21" s="1"/>
  <c r="E10" s="1"/>
  <c r="B10" i="22" s="1"/>
  <c r="E10" s="1"/>
  <c r="B10" i="23" s="1"/>
  <c r="E10" s="1"/>
  <c r="E10" i="19"/>
  <c r="B9" i="20" s="1"/>
  <c r="E9" s="1"/>
  <c r="B9" i="21" s="1"/>
  <c r="E9" s="1"/>
  <c r="B9" i="22" s="1"/>
  <c r="E9" s="1"/>
  <c r="B9" i="23" s="1"/>
  <c r="E9" s="1"/>
  <c r="C14" i="19"/>
  <c r="E8"/>
  <c r="B7" i="20" s="1"/>
  <c r="E7" s="1"/>
  <c r="B7" i="21" s="1"/>
  <c r="E7" s="1"/>
  <c r="B7" i="22" s="1"/>
  <c r="E7" s="1"/>
  <c r="B7" i="23" s="1"/>
  <c r="E7" s="1"/>
  <c r="B28" i="18"/>
  <c r="D26"/>
  <c r="D14"/>
  <c r="C12"/>
  <c r="E12" s="1"/>
  <c r="C11"/>
  <c r="E11" s="1"/>
  <c r="C10"/>
  <c r="E10" s="1"/>
  <c r="C9"/>
  <c r="C14" s="1"/>
  <c r="E24"/>
  <c r="E23"/>
  <c r="E22"/>
  <c r="E21"/>
  <c r="E20"/>
  <c r="E18"/>
  <c r="C19"/>
  <c r="E19" s="1"/>
  <c r="C17"/>
  <c r="C26" s="1"/>
  <c r="E16" s="1"/>
  <c r="D28"/>
  <c r="E9"/>
  <c r="E8"/>
  <c r="E23" i="21" l="1"/>
  <c r="B23" i="22" s="1"/>
  <c r="E23" s="1"/>
  <c r="B23" i="23" s="1"/>
  <c r="E23" s="1"/>
  <c r="E20" i="21"/>
  <c r="B20" i="22" s="1"/>
  <c r="E20" s="1"/>
  <c r="B20" i="23" s="1"/>
  <c r="E20" s="1"/>
  <c r="B25" i="20"/>
  <c r="E25" s="1"/>
  <c r="B24" i="21" s="1"/>
  <c r="E24" s="1"/>
  <c r="B24" i="22" s="1"/>
  <c r="E24" s="1"/>
  <c r="B24" i="23" s="1"/>
  <c r="E24" s="1"/>
  <c r="B23" i="20"/>
  <c r="E23" s="1"/>
  <c r="B22" i="21" s="1"/>
  <c r="E22" s="1"/>
  <c r="B22" i="22" s="1"/>
  <c r="E22" s="1"/>
  <c r="B22" i="23" s="1"/>
  <c r="E22" s="1"/>
  <c r="B17" i="20"/>
  <c r="E17" s="1"/>
  <c r="B16" i="21" s="1"/>
  <c r="E16" s="1"/>
  <c r="B16" i="22" s="1"/>
  <c r="E16" s="1"/>
  <c r="B16" i="23" s="1"/>
  <c r="E16" s="1"/>
  <c r="B22" i="20"/>
  <c r="E22" s="1"/>
  <c r="B21" i="21" s="1"/>
  <c r="E21" s="1"/>
  <c r="B21" i="22" s="1"/>
  <c r="E21" s="1"/>
  <c r="B21" i="23" s="1"/>
  <c r="E21" s="1"/>
  <c r="C27" i="19"/>
  <c r="E7"/>
  <c r="B6" i="20" s="1"/>
  <c r="E6" s="1"/>
  <c r="B6" i="21" s="1"/>
  <c r="E27" i="19"/>
  <c r="E9"/>
  <c r="E17"/>
  <c r="B18" i="20" s="1"/>
  <c r="E18" s="1"/>
  <c r="B17" i="21" s="1"/>
  <c r="E17" s="1"/>
  <c r="B17" i="22" s="1"/>
  <c r="E17" s="1"/>
  <c r="B17" i="23" s="1"/>
  <c r="E17" s="1"/>
  <c r="C28" i="18"/>
  <c r="E7"/>
  <c r="E28"/>
  <c r="E17"/>
  <c r="E6" i="21" l="1"/>
  <c r="B29"/>
  <c r="F27"/>
  <c r="B6" i="22"/>
  <c r="E29" i="21"/>
  <c r="F19"/>
  <c r="F27" i="20"/>
  <c r="F25" i="19"/>
  <c r="B29" i="20"/>
  <c r="E29" s="1"/>
  <c r="E77" i="16"/>
  <c r="E71"/>
  <c r="I98" i="7"/>
  <c r="I94"/>
  <c r="H93"/>
  <c r="K94"/>
  <c r="M94" s="1"/>
  <c r="J94"/>
  <c r="H98"/>
  <c r="D26" i="8"/>
  <c r="C6" i="9"/>
  <c r="E6" i="22" l="1"/>
  <c r="B6" i="23" s="1"/>
  <c r="B29" i="22"/>
  <c r="C7" i="9"/>
  <c r="B29" i="23" l="1"/>
  <c r="E6"/>
  <c r="F19" i="22"/>
  <c r="E29"/>
  <c r="F27"/>
  <c r="D13" i="9"/>
  <c r="H6" i="7"/>
  <c r="E6"/>
  <c r="I6"/>
  <c r="G6"/>
  <c r="F33"/>
  <c r="F8"/>
  <c r="I83"/>
  <c r="I97"/>
  <c r="F6"/>
  <c r="H10"/>
  <c r="E29" i="23" l="1"/>
  <c r="F27"/>
  <c r="F19"/>
  <c r="G39" i="7"/>
  <c r="G37"/>
  <c r="F37"/>
  <c r="D6"/>
  <c r="C22" i="15"/>
  <c r="D18" i="8"/>
  <c r="H31" i="7"/>
  <c r="J31"/>
  <c r="I36"/>
  <c r="C8" i="9"/>
  <c r="D10" s="1"/>
  <c r="D11" s="1"/>
  <c r="J25" i="7"/>
  <c r="F662" i="5"/>
  <c r="C662"/>
  <c r="E662" s="1"/>
  <c r="D14" i="9" l="1"/>
  <c r="D27" i="8" s="1"/>
  <c r="C27" i="14"/>
  <c r="C12"/>
  <c r="H36" i="7"/>
  <c r="J19"/>
  <c r="F629" i="5"/>
  <c r="C629"/>
  <c r="E629" s="1"/>
  <c r="F597"/>
  <c r="C597"/>
  <c r="E597" s="1"/>
  <c r="C18" i="13"/>
  <c r="C17" i="12"/>
  <c r="C18" i="11"/>
  <c r="C103" i="7"/>
  <c r="B103"/>
  <c r="C84"/>
  <c r="B84"/>
  <c r="C56"/>
  <c r="B56"/>
  <c r="K54"/>
  <c r="J54"/>
  <c r="J24"/>
  <c r="D30" i="8"/>
  <c r="D33" s="1"/>
  <c r="C30"/>
  <c r="M28" i="7"/>
  <c r="I28"/>
  <c r="I56" s="1"/>
  <c r="I84" s="1"/>
  <c r="I103" s="1"/>
  <c r="H28"/>
  <c r="H56" s="1"/>
  <c r="H84" s="1"/>
  <c r="H103" s="1"/>
  <c r="G28"/>
  <c r="G56" s="1"/>
  <c r="G84" s="1"/>
  <c r="G103" s="1"/>
  <c r="F28"/>
  <c r="F56" s="1"/>
  <c r="F84" s="1"/>
  <c r="F103" s="1"/>
  <c r="E28"/>
  <c r="E56" s="1"/>
  <c r="E84" s="1"/>
  <c r="E103" s="1"/>
  <c r="D28"/>
  <c r="D56" s="1"/>
  <c r="D84" s="1"/>
  <c r="D103" s="1"/>
  <c r="C28"/>
  <c r="B28"/>
  <c r="M101"/>
  <c r="K102"/>
  <c r="J102"/>
  <c r="K100"/>
  <c r="J100"/>
  <c r="L100" s="1"/>
  <c r="J99"/>
  <c r="L99" s="1"/>
  <c r="K98"/>
  <c r="J98"/>
  <c r="K97"/>
  <c r="J97"/>
  <c r="K96"/>
  <c r="J96"/>
  <c r="K95"/>
  <c r="J95"/>
  <c r="K93"/>
  <c r="J93"/>
  <c r="M93" s="1"/>
  <c r="K92"/>
  <c r="J92"/>
  <c r="K91"/>
  <c r="J91"/>
  <c r="K89"/>
  <c r="J89"/>
  <c r="K88"/>
  <c r="J88"/>
  <c r="K87"/>
  <c r="J87"/>
  <c r="L87" s="1"/>
  <c r="K83"/>
  <c r="J83"/>
  <c r="K82"/>
  <c r="J82"/>
  <c r="K81"/>
  <c r="J81"/>
  <c r="K80"/>
  <c r="J80"/>
  <c r="K79"/>
  <c r="J79"/>
  <c r="K78"/>
  <c r="J78"/>
  <c r="K77"/>
  <c r="J77"/>
  <c r="K76"/>
  <c r="J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L35" s="1"/>
  <c r="K34"/>
  <c r="J34"/>
  <c r="K33"/>
  <c r="J33"/>
  <c r="L33" s="1"/>
  <c r="K32"/>
  <c r="J32"/>
  <c r="L32" s="1"/>
  <c r="K31"/>
  <c r="L31"/>
  <c r="K27"/>
  <c r="J27"/>
  <c r="L27" s="1"/>
  <c r="K26"/>
  <c r="J26"/>
  <c r="L26" s="1"/>
  <c r="K25"/>
  <c r="L25"/>
  <c r="K24"/>
  <c r="L24"/>
  <c r="K23"/>
  <c r="J23"/>
  <c r="L23" s="1"/>
  <c r="K22"/>
  <c r="J22"/>
  <c r="L22" s="1"/>
  <c r="K21"/>
  <c r="J21"/>
  <c r="L21" s="1"/>
  <c r="K20"/>
  <c r="J20"/>
  <c r="L20" s="1"/>
  <c r="K19"/>
  <c r="L19"/>
  <c r="K18"/>
  <c r="J18"/>
  <c r="L18" s="1"/>
  <c r="K17"/>
  <c r="J17"/>
  <c r="L17" s="1"/>
  <c r="K16"/>
  <c r="J16"/>
  <c r="L16" s="1"/>
  <c r="K15"/>
  <c r="J15"/>
  <c r="L15" s="1"/>
  <c r="K14"/>
  <c r="J14"/>
  <c r="K12"/>
  <c r="J12"/>
  <c r="L12" s="1"/>
  <c r="K10"/>
  <c r="J10"/>
  <c r="L10" s="1"/>
  <c r="K9"/>
  <c r="J9"/>
  <c r="L9" s="1"/>
  <c r="K8"/>
  <c r="J8"/>
  <c r="L8" s="1"/>
  <c r="K7"/>
  <c r="J7"/>
  <c r="L7" s="1"/>
  <c r="K6"/>
  <c r="J6"/>
  <c r="K5"/>
  <c r="J5"/>
  <c r="K4"/>
  <c r="J4"/>
  <c r="D561" i="5"/>
  <c r="C561"/>
  <c r="F553"/>
  <c r="F561" s="1"/>
  <c r="E553"/>
  <c r="E561" s="1"/>
  <c r="D529"/>
  <c r="C529"/>
  <c r="F521"/>
  <c r="F529" s="1"/>
  <c r="E521"/>
  <c r="E529" s="1"/>
  <c r="D497"/>
  <c r="C497"/>
  <c r="F489"/>
  <c r="F497" s="1"/>
  <c r="E489"/>
  <c r="E497" s="1"/>
  <c r="D465"/>
  <c r="C465"/>
  <c r="F457"/>
  <c r="F465" s="1"/>
  <c r="E457"/>
  <c r="E465" s="1"/>
  <c r="D433"/>
  <c r="C433"/>
  <c r="F425"/>
  <c r="F433" s="1"/>
  <c r="E425"/>
  <c r="E433" s="1"/>
  <c r="D401"/>
  <c r="C401"/>
  <c r="F393"/>
  <c r="F401" s="1"/>
  <c r="E393"/>
  <c r="E401" s="1"/>
  <c r="D369"/>
  <c r="C369"/>
  <c r="F361"/>
  <c r="F369" s="1"/>
  <c r="E361"/>
  <c r="E369" s="1"/>
  <c r="D337"/>
  <c r="C337"/>
  <c r="F329"/>
  <c r="F337" s="1"/>
  <c r="E329"/>
  <c r="E337" s="1"/>
  <c r="D305"/>
  <c r="C305"/>
  <c r="F297"/>
  <c r="F305" s="1"/>
  <c r="E297"/>
  <c r="E305" s="1"/>
  <c r="D273"/>
  <c r="C273"/>
  <c r="F265"/>
  <c r="F273" s="1"/>
  <c r="E265"/>
  <c r="E273" s="1"/>
  <c r="D241"/>
  <c r="C241"/>
  <c r="F233"/>
  <c r="F241" s="1"/>
  <c r="E233"/>
  <c r="E241" s="1"/>
  <c r="D209"/>
  <c r="C209"/>
  <c r="F201"/>
  <c r="F209" s="1"/>
  <c r="E201"/>
  <c r="E209" s="1"/>
  <c r="D177"/>
  <c r="C177"/>
  <c r="F169"/>
  <c r="F177" s="1"/>
  <c r="E169"/>
  <c r="E177" s="1"/>
  <c r="D145"/>
  <c r="C145"/>
  <c r="F137"/>
  <c r="F145" s="1"/>
  <c r="E137"/>
  <c r="E145" s="1"/>
  <c r="D113"/>
  <c r="C113"/>
  <c r="F105"/>
  <c r="F113" s="1"/>
  <c r="E105"/>
  <c r="E113" s="1"/>
  <c r="D81"/>
  <c r="C81"/>
  <c r="F73"/>
  <c r="F81" s="1"/>
  <c r="E73"/>
  <c r="E81" s="1"/>
  <c r="D49"/>
  <c r="C49"/>
  <c r="F41"/>
  <c r="F49" s="1"/>
  <c r="E41"/>
  <c r="E49" s="1"/>
  <c r="D17" i="6"/>
  <c r="C17"/>
  <c r="F9"/>
  <c r="F17" s="1"/>
  <c r="E9"/>
  <c r="E17" s="1"/>
  <c r="D17" i="5"/>
  <c r="C17"/>
  <c r="F9"/>
  <c r="F17" s="1"/>
  <c r="E9"/>
  <c r="E17" s="1"/>
  <c r="D17" i="4"/>
  <c r="C17"/>
  <c r="F9"/>
  <c r="F17" s="1"/>
  <c r="E9"/>
  <c r="E17" s="1"/>
  <c r="Y21" i="3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A21" s="1"/>
  <c r="B21"/>
  <c r="Z21" s="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A33" i="2"/>
  <c r="AA32"/>
  <c r="AA31"/>
  <c r="AA30"/>
  <c r="AA29"/>
  <c r="AA36" s="1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Y36"/>
  <c r="X36"/>
  <c r="T36"/>
  <c r="U36"/>
  <c r="V36"/>
  <c r="W36"/>
  <c r="Q36"/>
  <c r="P36"/>
  <c r="O36"/>
  <c r="N36"/>
  <c r="M36"/>
  <c r="L36"/>
  <c r="K36"/>
  <c r="J36"/>
  <c r="I36"/>
  <c r="H36"/>
  <c r="F36"/>
  <c r="G36"/>
  <c r="D36"/>
  <c r="E36" s="1"/>
  <c r="B36"/>
  <c r="C36" s="1"/>
  <c r="R36"/>
  <c r="S36" s="1"/>
  <c r="Z40" i="1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40" s="1"/>
  <c r="AA6"/>
  <c r="Z5"/>
  <c r="X40"/>
  <c r="V40"/>
  <c r="W40"/>
  <c r="T40"/>
  <c r="U40"/>
  <c r="R40"/>
  <c r="S40"/>
  <c r="P40"/>
  <c r="Q40"/>
  <c r="N40"/>
  <c r="O40"/>
  <c r="L40"/>
  <c r="M40"/>
  <c r="J40"/>
  <c r="K40"/>
  <c r="H40"/>
  <c r="I40"/>
  <c r="G40"/>
  <c r="F40"/>
  <c r="E40"/>
  <c r="D40"/>
  <c r="B40"/>
  <c r="Y40"/>
  <c r="C40"/>
  <c r="C30" i="14" l="1"/>
  <c r="L6" i="7"/>
  <c r="L4"/>
  <c r="M37"/>
  <c r="L14"/>
  <c r="M54"/>
  <c r="K28"/>
  <c r="K56" s="1"/>
  <c r="K84" s="1"/>
  <c r="K103" s="1"/>
  <c r="J28"/>
  <c r="J56" s="1"/>
  <c r="J84" s="1"/>
  <c r="J103" s="1"/>
  <c r="M34"/>
  <c r="M36"/>
  <c r="M38"/>
  <c r="M39"/>
  <c r="M40"/>
  <c r="M41"/>
  <c r="M42"/>
  <c r="M43"/>
  <c r="M44"/>
  <c r="M45"/>
  <c r="M46"/>
  <c r="M47"/>
  <c r="M49"/>
  <c r="M50"/>
  <c r="M51"/>
  <c r="M52"/>
  <c r="M53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8"/>
  <c r="M89"/>
  <c r="M91"/>
  <c r="M92"/>
  <c r="M95"/>
  <c r="M96"/>
  <c r="M97"/>
  <c r="M98"/>
  <c r="M48"/>
  <c r="Z36" i="2"/>
  <c r="L28" i="7" l="1"/>
  <c r="L56" s="1"/>
  <c r="L84" s="1"/>
  <c r="L103" s="1"/>
  <c r="M56"/>
  <c r="M84" s="1"/>
  <c r="M103" s="1"/>
</calcChain>
</file>

<file path=xl/comments1.xml><?xml version="1.0" encoding="utf-8"?>
<comments xmlns="http://schemas.openxmlformats.org/spreadsheetml/2006/main">
  <authors>
    <author>iLLuSioN</author>
  </authors>
  <commentList>
    <comment ref="A81" authorId="0">
      <text>
        <r>
          <rPr>
            <b/>
            <sz val="8"/>
            <color indexed="81"/>
            <rFont val="Tahoma"/>
            <family val="2"/>
          </rPr>
          <t>iLLuSioN: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<sst xmlns="http://schemas.openxmlformats.org/spreadsheetml/2006/main" count="1637" uniqueCount="649">
  <si>
    <t xml:space="preserve">ใบผ่านมาตรฐาน 3 (ทะเบียนเงินรายรับ) </t>
  </si>
  <si>
    <t>ตั้งแต่ ตุลาคม 2551 - กันยายน 2552</t>
  </si>
  <si>
    <t>รายการ</t>
  </si>
  <si>
    <t>ตุลาคม 2551</t>
  </si>
  <si>
    <t>ธันวาคม 2551</t>
  </si>
  <si>
    <t>มกราคม 2552</t>
  </si>
  <si>
    <t>กุมภาพันธ์ 2552</t>
  </si>
  <si>
    <t>มีนาคม 2552</t>
  </si>
  <si>
    <t>เมษายน 2552</t>
  </si>
  <si>
    <t>รวม</t>
  </si>
  <si>
    <t>เดบิท</t>
  </si>
  <si>
    <t xml:space="preserve"> เครดิต</t>
  </si>
  <si>
    <t>พฤศจิกายน 2551</t>
  </si>
  <si>
    <t>พฤษภาคม 2552</t>
  </si>
  <si>
    <t>มิถุนายน 2552</t>
  </si>
  <si>
    <t>กรกฎาคม 2552</t>
  </si>
  <si>
    <t>สิงหาคม 2552</t>
  </si>
  <si>
    <t>กันยายน 2552</t>
  </si>
  <si>
    <t>เงินรายรับ</t>
  </si>
  <si>
    <t>ภาษีโรงเรือนและที่ดิน</t>
  </si>
  <si>
    <t>ภาษีบำรุงท้องที่</t>
  </si>
  <si>
    <t>ภาษีป้าย</t>
  </si>
  <si>
    <t>อากรการฆ่าสัตว์</t>
  </si>
  <si>
    <t>อากรรังนกอีแอ่น</t>
  </si>
  <si>
    <t>ค่าธรรมเนียมฯจำหน่ายเนื้อสัตว์</t>
  </si>
  <si>
    <t>ค่าธรรมเนียมฯการขายสุรา</t>
  </si>
  <si>
    <t>ค่าธรรมเนียมฯการพนัน</t>
  </si>
  <si>
    <t>ค่าปรับผู้กระทำผิดฯจราจรทางบก</t>
  </si>
  <si>
    <t>ค่าปรับผิดสัญญา</t>
  </si>
  <si>
    <t>ค่าใบอนุญาตอื่น ๆ</t>
  </si>
  <si>
    <t>ดอกเบี้ย</t>
  </si>
  <si>
    <t>รายได้จากสาธารณูปโภคฯ</t>
  </si>
  <si>
    <t>ค่าขายแบบแปลน</t>
  </si>
  <si>
    <t>ค่าจำหน่ายแบบพิมพ์และคำร้อง</t>
  </si>
  <si>
    <t>ค่ารับรองสำเนาและถ่ายเอกสาร</t>
  </si>
  <si>
    <t>รายได้เบ็ดเตล็ดอื่น ๆ</t>
  </si>
  <si>
    <t>ภาษีมูลค่าเพิ่มตาม พรบ.กำหนดแผนฯ</t>
  </si>
  <si>
    <t>ภาษีมูลค่าเพิ่ม 1/9</t>
  </si>
  <si>
    <t>ภาษีธุรกิจเฉพาะ</t>
  </si>
  <si>
    <t>ภาษีสุรา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</si>
  <si>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</si>
  <si>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</si>
  <si>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</si>
  <si>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ค่าธรรมเนียมจดทะเบียนสิทธิฯ</t>
  </si>
  <si>
    <t>เงินอุดหนุนทั่วไปตามอำนาจหน้าที่ฯ</t>
  </si>
  <si>
    <t>เงินอุดหนุนเฉพาะกิจผู้สูงอายุ</t>
  </si>
  <si>
    <t>เงินอุดหนุนเฉพาะกิจอาหารเสริม-นม</t>
  </si>
  <si>
    <t>เงินอุดหนุนเฉพาะกิจขยายท่อเมนประปา</t>
  </si>
  <si>
    <t>เงินอุดหนุนเฉพาะกิจครุภัณฑ์ศูนย์พัฒนาเด็ก</t>
  </si>
  <si>
    <t>เงินอุดหนุนเศรษฐกิจชุมชน</t>
  </si>
  <si>
    <t>เงินอุดหนุนเฉพาะกิจโครงการ สสส.</t>
  </si>
  <si>
    <t>รวมทั้งปี</t>
  </si>
  <si>
    <t>ใบผ่านมาตรฐาน 2 (สมุดเงินสดจ่าย)</t>
  </si>
  <si>
    <t>งบกลาง</t>
  </si>
  <si>
    <t>เงินเดือน</t>
  </si>
  <si>
    <t>ค่าจ้างประจำ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</si>
  <si>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</si>
  <si>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</si>
  <si>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</si>
  <si>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</si>
  <si>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</si>
  <si>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</si>
  <si>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</si>
  <si>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</si>
  <si>
    <t>รายจ่ายค้างจ่าย</t>
  </si>
  <si>
    <t>เงินสะสม</t>
  </si>
  <si>
    <t>เงินรับฝาก-ภาษีหัก ณ ที่จ่าย</t>
  </si>
  <si>
    <t>เงินรับฝาก-ประกันสัญญา</t>
  </si>
  <si>
    <t>เงินรับฝาก-ค่าใช้จ่าย 5%</t>
  </si>
  <si>
    <t>เงินรับฝาก-ส่วนลด 6%</t>
  </si>
  <si>
    <t>ลูกหนี้เงินยืมเงินงบประมาณ</t>
  </si>
  <si>
    <t>เงินอุดหนุนเฉพาะกิจ - สสส.</t>
  </si>
  <si>
    <t>เงินอุดหนุนเฉพาะกิจ - ผู้สูงอายุ</t>
  </si>
  <si>
    <t>เงินอุดหนุนเฉพาะกิจ - สปสช.</t>
  </si>
  <si>
    <t>เงินฝากธนาคารกรุงไทย 717-9</t>
  </si>
  <si>
    <t>เงินฝากธนาคาร ธกส. 870-5</t>
  </si>
  <si>
    <t>เงินรับฝาก-ภาษีหักหน้าฎีกา</t>
  </si>
  <si>
    <t>เงินรายรับ(ค่าปรับผิดสัญญา)</t>
  </si>
  <si>
    <t>เงินอุดหนุนเฉพาะกิจ - ครุภัณฑ์ศูนย์เด็กฯ</t>
  </si>
  <si>
    <t>เงินอุดหนุนเฉพาะกิจ - ค่าเล่าเรียนครูศูนย์ฯ</t>
  </si>
  <si>
    <t>เงินอุดหนุนเฉพาะกิจ - ซ่อมท่อเมนประปา</t>
  </si>
  <si>
    <t>เงินฝากธนาคาร ธกส. 328-1</t>
  </si>
  <si>
    <t>ใบผ่านมาตรฐาน 1 (สมุดเงินสดรับ)</t>
  </si>
  <si>
    <t xml:space="preserve"> ตุลาคม 2551</t>
  </si>
  <si>
    <t xml:space="preserve"> พฤศจิกายน 2551</t>
  </si>
  <si>
    <t xml:space="preserve"> ธันวาคม 2551</t>
  </si>
  <si>
    <t xml:space="preserve"> มกราคม 2552</t>
  </si>
  <si>
    <t xml:space="preserve"> กุมภาพันธ์ 2552</t>
  </si>
  <si>
    <t xml:space="preserve"> มีนาคม 2552</t>
  </si>
  <si>
    <t xml:space="preserve"> เมษายน 2552</t>
  </si>
  <si>
    <t xml:space="preserve"> พฤษภาคม 2552</t>
  </si>
  <si>
    <t xml:space="preserve"> มิถุนายน 2552</t>
  </si>
  <si>
    <t xml:space="preserve"> กรกฎาคม 2552</t>
  </si>
  <si>
    <t xml:space="preserve"> สิงหาคม 2552</t>
  </si>
  <si>
    <t xml:space="preserve"> กันยายน 2552</t>
  </si>
  <si>
    <t xml:space="preserve"> รวมทั้งปี</t>
  </si>
  <si>
    <t>เครดิต</t>
  </si>
  <si>
    <t>เงินฝากธนาคารกรุงไทย 439-6</t>
  </si>
  <si>
    <t>เงินฝากธนาคารกรุงไทย 916-4</t>
  </si>
  <si>
    <t>เงินฝากธนาคาร ธกส. 8562-7</t>
  </si>
  <si>
    <t>เงินสด</t>
  </si>
  <si>
    <t>เงินเกินบัญชี</t>
  </si>
  <si>
    <t>เงินรับฝาก-เงินประกันสัญญา</t>
  </si>
  <si>
    <t>เงินรับฝาก-ประกันการใช้น้ำ</t>
  </si>
  <si>
    <t>เลขที่ .............../2551</t>
  </si>
  <si>
    <t>ใบผ่านรายการบัญชีทั่วไป</t>
  </si>
  <si>
    <t>ฝ่าย ................................</t>
  </si>
  <si>
    <t>รหัสบัญชี</t>
  </si>
  <si>
    <t>ผู้จัดทำ</t>
  </si>
  <si>
    <t>ผู้อนุมัติ</t>
  </si>
  <si>
    <t>ผู้บันทึกบัญชี</t>
  </si>
  <si>
    <t>(                                 )</t>
  </si>
  <si>
    <t>(นายบัญชา  ศักดา)</t>
  </si>
  <si>
    <t>(                         )</t>
  </si>
  <si>
    <t>หัวหน้าส่วนการคลัง</t>
  </si>
  <si>
    <t>นายก อบต.น้ำหัก</t>
  </si>
  <si>
    <t>ธนาคารกรุงไทย-ออมทรัพย์ 830-1-06717-9</t>
  </si>
  <si>
    <t xml:space="preserve">      ธนาคารกรุงไทย-กระแสรายวัน 830-6-00439-6</t>
  </si>
  <si>
    <t>ประเภทออมทรัพย์ เนื่องจากได้รับจัดสรรภาษี</t>
  </si>
  <si>
    <t xml:space="preserve">คำอธิบาย : บันทึกบัญชีฝาก-ถอนเงินฝากธนาคารกรุงไทย ประเภทกระแสรายวัน เข้าบัญชีธนาคารกรุงไทย </t>
  </si>
  <si>
    <t>วันที่  16  กันยายน  2552</t>
  </si>
  <si>
    <t>วันที่  30  พฤศจิกายน  2550</t>
  </si>
  <si>
    <t>วันที่ 14  มิถุนายน 2553</t>
  </si>
  <si>
    <t>เลขที่ .............../2553</t>
  </si>
  <si>
    <t>54</t>
  </si>
  <si>
    <t>วันที่  4  มีนาคม  2551</t>
  </si>
  <si>
    <t xml:space="preserve">     ธนาคาร ธกส. 131-2-35328-1</t>
  </si>
  <si>
    <t xml:space="preserve"> -</t>
  </si>
  <si>
    <t>คำอธิบาย : บันทึกบัญชีฝาก-เบิกเพื่อจ่ายเป็นเงินอุดหนุน สปสช.</t>
  </si>
  <si>
    <t>วันที่  16  กันยายน  2551</t>
  </si>
  <si>
    <t>คำอธิบาย : บันทึกบัญชีฝาก-เบิกเพื่อจ่ายเป็นเงินอุดหนุน สถานีอนามัยบ้านน้ำหัก</t>
  </si>
  <si>
    <t>วันที่  30  กันยายน  2551</t>
  </si>
  <si>
    <t xml:space="preserve">     ลูกหนี้เงินยืมเงินงบประมาณ</t>
  </si>
  <si>
    <t>คำอธิบาย : บันทึกบัญชีฝาก-ส่งใช้เงินยืมกรณีนายบัญชา  ศักดา  ยืมเงินไปราชการ</t>
  </si>
  <si>
    <t>วันที่  28  กุมภาพันธ์  2551</t>
  </si>
  <si>
    <t>คำอธิบาย : บันทึกบัญชีฝาก-ส่งใช้เงินยืมกรณีนายชนะการ  ดวงสุวรรณ  ยืมเงินไปราชการ</t>
  </si>
  <si>
    <t>คำอธิบาย : บันทึกบัญชีฝาก-ส่งใช้เงินยืมกรณีนายยงยุทธ  วิเชียรพร  ยืมเงินไปราชการ</t>
  </si>
  <si>
    <t>วันที่ 30 กันยายน  2551</t>
  </si>
  <si>
    <t>คำอธิบาย : บันทึกบัญชีฝาก-ส่งใช้เงินยืมกรณีนางศรีโสภา  อินหว่าง  ยืมเงินไปราชการ</t>
  </si>
  <si>
    <t>วันที่  25  กรกฎาคม  2551</t>
  </si>
  <si>
    <t>คำอธิบาย : บันทึกบัญชีฝาก-ส่งใช้เงินยืมกรณี ว่าที่ ร.ต.เฉลิม ประจง ยืมเงินไปราชการ</t>
  </si>
  <si>
    <t>วันที่  26  สิงหาคม  2551</t>
  </si>
  <si>
    <t>คำอธิบาย : บันทึกบัญชีฝาก-ส่งใช้เงินยืมกรณีส่วนการคลัง  ยืมเงินไปราชการ</t>
  </si>
  <si>
    <t>คำอธิบาย : บันทึกบัญชีฝาก-ส่งใช้เงินยืมกรณีสำนักงานปลัด  ยืมเงินไปราชการ</t>
  </si>
  <si>
    <t>วันที่  29  พฤษถภาคม  2551</t>
  </si>
  <si>
    <t>คำอธิบาย : บันทึกบัญชีฝาก-ส่งใช้เงินยืมกรณี ว่าที่ ร.ต. เฉลิม ประจง  ยืมเงินไปราชการ</t>
  </si>
  <si>
    <t>ธนาคาร ธกส. 131-2-35328-1</t>
  </si>
  <si>
    <t>คำอธิบาย : บันทึกบัญชีฝาก-ได้รับดอกเบี้ยเงินฝากธนาคาร</t>
  </si>
  <si>
    <t>คำอธิบาย : บันทึกบัญชีฝาก-ได้รับเงินอุดหนุนเฉพาะกิจ-สปสช.</t>
  </si>
  <si>
    <t>วันที่  22  พฤษถภาคม  2551</t>
  </si>
  <si>
    <t>เงินฝากออมทรัพย์</t>
  </si>
  <si>
    <t>เงินฝากประจำ</t>
  </si>
  <si>
    <t>เงินฝากกระแสรายวัน</t>
  </si>
  <si>
    <t>ธนาคารกรุงไทย 830-1-06717-9</t>
  </si>
  <si>
    <t>ธนาคาร ธกส. 131-2-20870-5</t>
  </si>
  <si>
    <t>ธนาคาร ธกส. 131-2-27562-7(เศรษฐกิจชุมชน)</t>
  </si>
  <si>
    <t>ธนาคาร ธกส. 131-2-28086-6(โครงการถ่ายโอนฯ)</t>
  </si>
  <si>
    <t>ธนาคารกรุงไทย 830-2-00916-4</t>
  </si>
  <si>
    <t>ธนาคารกรุงไทย 830-6-00439-6</t>
  </si>
  <si>
    <t>ธนาคารกรุงไทย 830-6-00414-0</t>
  </si>
  <si>
    <t>ธนาคาร ธกส. 131-5-00004-9</t>
  </si>
  <si>
    <t>ธนาคาร ธกส. 131-5-00020-1</t>
  </si>
  <si>
    <t>เงินขาดบัญชี</t>
  </si>
  <si>
    <t>ค่าสาธาณูปโภค</t>
  </si>
  <si>
    <t>ทุนสำรองเงินสะสม</t>
  </si>
  <si>
    <t>รายได้ค้างรับ</t>
  </si>
  <si>
    <t>ค่าธรรมเนียมการฆ่าสัตว์</t>
  </si>
  <si>
    <t>ค่าธรรมเนียมติดแผ่นป้ายประกาศ</t>
  </si>
  <si>
    <t>ค่าธรรมเนียมสิ่งแวดล้อม</t>
  </si>
  <si>
    <t>ค่าธรรมเนียมการพนัน</t>
  </si>
  <si>
    <t>ค่าปรับจราจรทางบก</t>
  </si>
  <si>
    <t>ดอกเบี้ยเงินฝากธนาคาร</t>
  </si>
  <si>
    <t>ค่าจำหน่ายแบบพิมพ์</t>
  </si>
  <si>
    <t>ค่ารับรองสำเนา ถ่ายเอกสาร</t>
  </si>
  <si>
    <t>รายได้ค่าสาธารณูปโภค</t>
  </si>
  <si>
    <t>รายได้เบ็ดเตล็ด</t>
  </si>
  <si>
    <t>ภาษีมูลค่าเพิ่ม 1 ใน 9</t>
  </si>
  <si>
    <t>ภาษีมูลค่าเพิ่มตาม พ.ร.บ.แผนฯ</t>
  </si>
  <si>
    <t>ค่าธรรมเนียมจดทะเบียนนิติกรรมที่ดิน</t>
  </si>
  <si>
    <t>เงินอุดหนุนทั่วไป</t>
  </si>
  <si>
    <t>เงินอุดหนุนระบุวัตถุประสงค์</t>
  </si>
  <si>
    <t>อาหารเสริม(นม)โรงเรียนวัดน้ำหัก</t>
  </si>
  <si>
    <t>อาหารกลางวัน โรงเรียนวัดน้ำหัก</t>
  </si>
  <si>
    <t>อาหารเสริม(นม)ศูนย์เด็กเล็ก</t>
  </si>
  <si>
    <t>เงินเพิ่มค่าครองชีพ</t>
  </si>
  <si>
    <t>เงินสมทบประกันสังคม</t>
  </si>
  <si>
    <t>ค่าวัสดุการเรียนการสอน</t>
  </si>
  <si>
    <t>ค่าพาหนะ</t>
  </si>
  <si>
    <t>วัฒนธรรมเยาวชน</t>
  </si>
  <si>
    <t>สาธารณสุขมูลฐาน</t>
  </si>
  <si>
    <t>เบี้ยยังชีพคนพิการ</t>
  </si>
  <si>
    <t>เบี้ยยังชีพคนชรา</t>
  </si>
  <si>
    <t>ระบบประปาหมู่บ้าน ม.6</t>
  </si>
  <si>
    <t>โครงการศูนย์พัฒนาครอบครัว</t>
  </si>
  <si>
    <t>พัฒนาบุคลากร(ทุนการศึกษาปฐมวัย)</t>
  </si>
  <si>
    <t>โครงการจัดระบบสวัสดิการชุมชน/ท้องถิ่น</t>
  </si>
  <si>
    <t>โครงการเศรษฐกิจชุมชน</t>
  </si>
  <si>
    <t>ลูกหนี้โครงการเศรษฐกิจชุมชน</t>
  </si>
  <si>
    <t>เงินอุดหนุนเฉพาะกิจ</t>
  </si>
  <si>
    <t>ระบบประปาหมู่บ้าน ม2</t>
  </si>
  <si>
    <t>เงินรับฝาก</t>
  </si>
  <si>
    <t>เงินหลักประกันซอง</t>
  </si>
  <si>
    <t>ภาษีหัก ณ ที่จ่าย</t>
  </si>
  <si>
    <t>เงินหลักประกันสัญญา</t>
  </si>
  <si>
    <t>ค่าใช้จ่าย 5%</t>
  </si>
  <si>
    <t>ส่วนลด 6%</t>
  </si>
  <si>
    <t>เงินระบบหลักประกันสุขภาพระดับตำบล</t>
  </si>
  <si>
    <t>ส่งใช้ยืมไปราชการ</t>
  </si>
  <si>
    <t>ภาษีหักหน้าฎีกา</t>
  </si>
  <si>
    <t>เงินอุดหนุนเฉพาะกิจฝากจังหวัด(ค่าปรับ)</t>
  </si>
  <si>
    <t>ชื่อบัญชี</t>
  </si>
  <si>
    <t>ปรับปรุงระหว่างปี</t>
  </si>
  <si>
    <t>สิงหาคม 2551</t>
  </si>
  <si>
    <t>กันยายน 2551</t>
  </si>
  <si>
    <t>สุทธิ</t>
  </si>
  <si>
    <t>องค์การบริหารส่วนตำบลน้ำหัก ปีงบประมาณ 2551</t>
  </si>
  <si>
    <t>ยกมา (31 กรกฎาคม 2551)</t>
  </si>
  <si>
    <t>ยกไป</t>
  </si>
  <si>
    <t xml:space="preserve">       เงินฝากธนาคาร ธกส. 131-5-00004-9</t>
  </si>
  <si>
    <t>คำอธิบาย : บันทึกบัญชีฝาก-จ่ายเบี้ยยังชีพคนชรา</t>
  </si>
  <si>
    <t>งบทดลอง(หลังปิดบัญชี)</t>
  </si>
  <si>
    <t>ณ  30  กันยายน  2551</t>
  </si>
  <si>
    <t>เงินฝากธนาคาร กรุงไทย 830-1-06717-9</t>
  </si>
  <si>
    <t>เงินฝากธนาคาร ธกส.131-2-20870-5</t>
  </si>
  <si>
    <t>เงินฝากธนาคาร ธกส.(เศรษฐกิจชุมชน) 131-2-27562-7</t>
  </si>
  <si>
    <t>เงินฝากธนาคาร ธกส.(โครงการถ่ายโอนฯ) 131-2-28086-6</t>
  </si>
  <si>
    <t>เงินฝากธนาคาร ธกส. 131-2-35328-1</t>
  </si>
  <si>
    <t>เงินฝากธนาคารกรุงไทย 830-2-00916-4</t>
  </si>
  <si>
    <t>เงินฝากธนาคารกรุงไทย 830-6-00439-6</t>
  </si>
  <si>
    <t>เงินฝากธนาคารกรุงไทย 830-6-00414-0</t>
  </si>
  <si>
    <t>เงินฝากธนาคาร ธกส. 131-5-00004-9</t>
  </si>
  <si>
    <t>เงินฝากธนาคาร ธกส. 131-5-00020-1</t>
  </si>
  <si>
    <t>เงินรับฝาก-ศูนย์พัฒนาครอบครัว</t>
  </si>
  <si>
    <t>เงินรับฝาก-เศรษฐกิจชุมชน</t>
  </si>
  <si>
    <t>เงินรับฝาก-ค่าใช้จ่าย 6%</t>
  </si>
  <si>
    <t>เงินรับฝาก-ระบบหลักประกันสุขภาพตำบล</t>
  </si>
  <si>
    <t>เงินสำรองเงินสะสม</t>
  </si>
  <si>
    <t>งบเงินสะสม</t>
  </si>
  <si>
    <t>เงินสะสม 1 ตุลาคม 2550</t>
  </si>
  <si>
    <t>หัก 25% เข้าเงินทุนสำรองเงินสะสม</t>
  </si>
  <si>
    <t>รายรับจริงสูงกว่ารายจ่ายจริง</t>
  </si>
  <si>
    <t>บวก</t>
  </si>
  <si>
    <t>รายรับจริงสูงกว่ารายจ่ายจริงหลังหักเงินทุนสำรองเงินสะสม</t>
  </si>
  <si>
    <t xml:space="preserve">หัก  </t>
  </si>
  <si>
    <t>จ่ายขาดเงินสะสม</t>
  </si>
  <si>
    <t>เงินสะสม  30  กันยายน  2551</t>
  </si>
  <si>
    <t>ธนาคาร ธกส. 131-2-35328-1(ประกันสุขภาพชุมชน)</t>
  </si>
  <si>
    <t>งบแสดงฐานะการเงิน</t>
  </si>
  <si>
    <t>ณ  วันที่  30  กันยายน  2551</t>
  </si>
  <si>
    <t>รายจ่ายค้างจ่ายปีงบประมาณ 2551  เพื่อเบิกจ่ายในปีงบประมาณ 2552</t>
  </si>
  <si>
    <t>อาหารกลางวันศูนย์เด็กเล็ก</t>
  </si>
  <si>
    <t>ก่อสร้างท่าน้ำ ม.10</t>
  </si>
  <si>
    <t>ขุดเจาะบ่อบาดาล ม.1</t>
  </si>
  <si>
    <t>ติดตั้งโคมไฟสปอร์ตไลท์</t>
  </si>
  <si>
    <t>ปรับปรุงภูมิทัศน์ถมดินหน้าอบต.</t>
  </si>
  <si>
    <t>ลำดับ</t>
  </si>
  <si>
    <t>จำนวนเงิน</t>
  </si>
  <si>
    <t>ก่อสร้างถนน คสล.บ้านปากพาย ม.2</t>
  </si>
  <si>
    <t>ปรับปรุงถนนลูกรัง ม.7</t>
  </si>
  <si>
    <t>ก่อสร้างถนน คสล. ม.4</t>
  </si>
  <si>
    <t>ปรับปรุงถนนในหมู่บ้าน ม.9</t>
  </si>
  <si>
    <t>ปรับปรุงถนนในหมู่บ้าน ม.3</t>
  </si>
  <si>
    <t>ปรับปรุงถนนในหมู่บ้าน ม.4</t>
  </si>
  <si>
    <t>ปรับปรุงถนนลูกรัง ม.10</t>
  </si>
  <si>
    <t>ปรับปรุงถนนลูกรัง ม.6</t>
  </si>
  <si>
    <t>ปรับปรุงถนนลูกรัง ม.1,4,5</t>
  </si>
  <si>
    <t>ครุภัณฑ์ไฟฟ้าวิทยุ</t>
  </si>
  <si>
    <t>ติดตั้งเสียงตามสาย</t>
  </si>
  <si>
    <t xml:space="preserve"> 1 พ.ย.50</t>
  </si>
  <si>
    <t xml:space="preserve"> 5 พ.ย.50</t>
  </si>
  <si>
    <t xml:space="preserve"> 26 พ.ย.50</t>
  </si>
  <si>
    <t xml:space="preserve"> 30 พ.ย.50</t>
  </si>
  <si>
    <t xml:space="preserve"> 6 ธ.ค.50</t>
  </si>
  <si>
    <t xml:space="preserve"> 18 ธ.ค.50</t>
  </si>
  <si>
    <t xml:space="preserve"> 21 ธ.ค.50</t>
  </si>
  <si>
    <t xml:space="preserve"> 28 ธ.ค.50</t>
  </si>
  <si>
    <t xml:space="preserve"> 10 ม.ค.51</t>
  </si>
  <si>
    <t xml:space="preserve"> 21 ม.ค.51 </t>
  </si>
  <si>
    <t xml:space="preserve"> 31 ม.ค.51</t>
  </si>
  <si>
    <t>อาหารเสริม(นม)โรงเรียนวัดน้ำหัก ปี50</t>
  </si>
  <si>
    <t>อาหารกลางวันโรงเรียนวัดน้ำหัก</t>
  </si>
  <si>
    <t>ระบบประปาหมู่บ้าน</t>
  </si>
  <si>
    <t>สวัสดิการชุมชนท้องถิ่น</t>
  </si>
  <si>
    <t>รายจ่ายค้างจ่ายปี 50 (อาหารกลางวันโรงเรียนวัดน้ำหัก)</t>
  </si>
  <si>
    <t>รายจ่ายค้างจ่ายปี 50 (อาหารกลางวันศูนย์เด็กเล็ก)</t>
  </si>
  <si>
    <t>รายจ่ายค้างจ่ายปี 50 (อาหารเสริม-นมโรงเรียนวัดน้ำหัก)</t>
  </si>
  <si>
    <t>รายจ่ายค้างจ่ายปี 50 (เงินสมทบประกันสังคม)</t>
  </si>
  <si>
    <t>รายจ่ายค้างจ่ายปี 50 (ค่าพาหนะ)</t>
  </si>
  <si>
    <t>รายจ่ายค้างจ่ายปี 50 (อาหารเสริม-นมศูนย์เด็ก)</t>
  </si>
  <si>
    <t>รายจ่ายค้างจ่ายปี 50 (สาธารณสุขมูลฐาน)</t>
  </si>
  <si>
    <t>รายจ่ายค้างจ่ายปี 50 (ระบบประปา ม.6)</t>
  </si>
  <si>
    <t>รายจ่ายค้างจ่ายปี 50 (วัสดุการเรียนการสอน)</t>
  </si>
  <si>
    <t>03</t>
  </si>
  <si>
    <t xml:space="preserve">คำอธิบาย : บันทึกบัญชีฝาก-บันทึกรายจ่ายค้างจ่ายที่เหลือจ่ายของปีงบประมาณ 2550 </t>
  </si>
  <si>
    <t>เข้าบัญชีเงินสะสม  เนื่องจากไม่มีการเบิกจ่ายแล้ว</t>
  </si>
  <si>
    <t xml:space="preserve">  วันที่ 30  กันยายน  2551</t>
  </si>
  <si>
    <t xml:space="preserve">          เงินสะสม</t>
  </si>
  <si>
    <t xml:space="preserve">รายจ่ายค้างจ่ายปี 50 </t>
  </si>
  <si>
    <t>คำอธิบาย : บันทึกบัญชีฝาก-บันทึกรายจ่ายค้างจ่ายปี 50  ซึ่งเบิกจ่ายในปีงบประมาณ 2551</t>
  </si>
  <si>
    <t>ค่าขยายไฟฟ้ให้บ้านเทิดไท้องค์ราชัน</t>
  </si>
  <si>
    <t>ซ่อมแซมถนน ม.2,5,6,8</t>
  </si>
  <si>
    <t>ซ่อมแซมถนน ม.2,5,6,8 (งวด 2)</t>
  </si>
  <si>
    <t>ซ่อมแซมถนน ม.2,5,6,8 (งวด 3)</t>
  </si>
  <si>
    <t>วัสดุบ้านเทิดไท้องค์ราชัน</t>
  </si>
  <si>
    <t>จ่ายโบนัส</t>
  </si>
  <si>
    <t>โครงการหนึ่งทศวรรษ อบต.</t>
  </si>
  <si>
    <t>ค่าใช้จ่ายร่วมโครงการเฉลิมพระเกียรติ 60 ปีครองราช</t>
  </si>
  <si>
    <t>ค่าขยายเขตไฟฟ้าระบบประปา ม.2</t>
  </si>
  <si>
    <t>อุดหนุนที่ทำการปกครอง อ.คีรีรัฐนิคมเพื่ออบรม อปพร.</t>
  </si>
  <si>
    <t>รถยนต์ส่วนกลาง</t>
  </si>
  <si>
    <t>วัสดุโครงการก่อสร้างบ้านเทิดไท้องค์ราชัน</t>
  </si>
  <si>
    <t>รายการปรับปรุงระหว่างปี</t>
  </si>
  <si>
    <t xml:space="preserve">          ธนาคาร ธกส.131-5-00004-9</t>
  </si>
  <si>
    <t>จ่ายปี 51</t>
  </si>
  <si>
    <t>จัดซื้ออุปกรณ์ อปพร.</t>
  </si>
  <si>
    <t>จัดซื้อเต้นท์ 2 หลัง เก้าอี้ PVC 100 ตัว</t>
  </si>
  <si>
    <t>จัดซื้อพัดลมอุตสาหกรรม 24 นิ้ว</t>
  </si>
  <si>
    <t>ค่าวัสดุ(อาหารกลางวันศูนย์เด็ก)</t>
  </si>
  <si>
    <t>ค่าครุภัณฑ์(พัดลมอุตสาหกรรม)</t>
  </si>
  <si>
    <t>ค่าครุภัณฑ์(เต้นและเก้าอี้)</t>
  </si>
  <si>
    <t>ค่าครุภัณฑ์(อุปกรณ์ อปพร.)</t>
  </si>
  <si>
    <t>ค่าที่ดินและสิ่งก่อสร้าง(ขุดเจาะบ่อบาดาล ม.1)</t>
  </si>
  <si>
    <t>ค่าที่ดินและสิ่งก่อสร้าง(ก่อสร้างท่าน้ำ ม.10)</t>
  </si>
  <si>
    <t>ค่าที่ดินและสิ่งก่อสร้าง(ติดตั้งโคมไฟสปอร์ตไลท์)</t>
  </si>
  <si>
    <t>ค่าที่ดินและสิ่งก่อสร้าง(ปรับปรุงภูมิทัศน์หน้า อบต.)</t>
  </si>
  <si>
    <t xml:space="preserve">          รายจ่ายค้างจ่าย</t>
  </si>
  <si>
    <t>คำอธิบาย : บันทึกบัญชีฝาก-บันทึกรายจ่ายค้างจ่ายปี 2551  เพื่อนำไปเบิกจ่ายในปีงบประมาณ 2552</t>
  </si>
  <si>
    <t>ปรับปรุงภูมิทัศน์ก่ออิฐแดงหน้าอบต.</t>
  </si>
  <si>
    <t>ก่อสร้างป้ายประชาสัมพันธ์</t>
  </si>
  <si>
    <t>ค่าที่ดินและสิ่งก่อสร้าง(ก่อสร้างป้ายประชาสัมพันธ์)</t>
  </si>
  <si>
    <t>รายจ่ายค้างจ่าย ณ 30 กันยายน 2552</t>
  </si>
  <si>
    <t>ก่อสร้างถนนลูกรังสาย ม.9</t>
  </si>
  <si>
    <t>ก่อสร้างถนนลูกรังสาย ม.7</t>
  </si>
  <si>
    <t>ก่อสร้างถนน คสล.สายบ้านนายสุเทพ</t>
  </si>
  <si>
    <t>ก่อสร้างถนน คสล.สายโรงเรียนวัดน้ำหัก</t>
  </si>
  <si>
    <t>ก่อสร้างหอถังประปาทรงเชมเปญ ม.1,4</t>
  </si>
  <si>
    <t>จ้างประกอบอาหารศูนย์น้ำหัก</t>
  </si>
  <si>
    <t>ก่อสร้างระบบประปาขนาดเล็ก</t>
  </si>
  <si>
    <t>พัฒนาบุคลากร(ครูปฐมวัย)</t>
  </si>
  <si>
    <t>องค์การบริหารส่วนตำบลน้ำหัก</t>
  </si>
  <si>
    <t>ธนาคารกรุงไทย จำกัด(มหาชน) สาขาคีรีรัฐนิคม</t>
  </si>
  <si>
    <t>งบกระทบยอดเงินฝากธนาคาร</t>
  </si>
  <si>
    <t xml:space="preserve">  เลขที่บัญชี  830-1-6717-9</t>
  </si>
  <si>
    <t>บาท</t>
  </si>
  <si>
    <t>บวก  :  เงินฝากระหว่างทาง</t>
  </si>
  <si>
    <t>วันที่ลงบัญชี</t>
  </si>
  <si>
    <t>วันที่ฝากธนาคาร</t>
  </si>
  <si>
    <t>...........................</t>
  </si>
  <si>
    <t>............................</t>
  </si>
  <si>
    <t>หัก  :  เช็คจ่ายที่ผู้รับยังไม่นำมาขึ้นเงินกับธนาคาร</t>
  </si>
  <si>
    <t>วันที่</t>
  </si>
  <si>
    <t>เลขที่เช็ค</t>
  </si>
  <si>
    <t>บวก  :  หรือ (หัก)  รายการกระทบยอดอื่น ๆ</t>
  </si>
  <si>
    <t>รายละเอียด</t>
  </si>
  <si>
    <t>ยอดคงเหลือตามบัญชี  ณ  วันที่  30  กันยายน  2555</t>
  </si>
  <si>
    <t>ผู้ตรวจสอบ</t>
  </si>
  <si>
    <t xml:space="preserve">      ตำแหน่ง   เจ้าพนักงานการเงินและบัญชี</t>
  </si>
  <si>
    <t>ยอดคงเหลือตามรายงานธนาคาร  ณ  วันที่  30  กันยายน  2551</t>
  </si>
  <si>
    <t xml:space="preserve"> 30 พ.ย. 49</t>
  </si>
  <si>
    <t xml:space="preserve"> 29 ธ.ค. 49</t>
  </si>
  <si>
    <t xml:space="preserve"> 26 ม.ค. 50</t>
  </si>
  <si>
    <t xml:space="preserve"> 7 มิ.ย. 50</t>
  </si>
  <si>
    <t xml:space="preserve"> 15 พ.ค. 50</t>
  </si>
  <si>
    <t xml:space="preserve"> 24 มิ.ย. 51</t>
  </si>
  <si>
    <t xml:space="preserve"> 25 ก.ค. 51</t>
  </si>
  <si>
    <t xml:space="preserve"> 4 ก.ย. 51</t>
  </si>
  <si>
    <t xml:space="preserve"> 12 ก.ย. 10</t>
  </si>
  <si>
    <t xml:space="preserve"> 19 ก.ย. 51</t>
  </si>
  <si>
    <t xml:space="preserve"> 25 ก.ย. 51</t>
  </si>
  <si>
    <t xml:space="preserve"> 30 ก.ย. 51</t>
  </si>
  <si>
    <t xml:space="preserve"> 0010937</t>
  </si>
  <si>
    <t xml:space="preserve">ปรับปรุงบัญชี </t>
  </si>
  <si>
    <t>เงินประกันการใช้น้ำ</t>
  </si>
  <si>
    <t>รายการปรับปรุงเงินประกันสัญญา</t>
  </si>
  <si>
    <t>รายจ่ายค้างจ่ายปีงบประมาณ 2550  นำมาเบิกจ่ายในปีงบประมาณ 2551</t>
  </si>
  <si>
    <t>รายจ่ายค้างจ่ายยกมา  ณ  วันที่  31 กรกฎาคม 2551</t>
  </si>
  <si>
    <t>รายการจ่ายขาดเงินสะสมในปีงบประมาณ 2551</t>
  </si>
  <si>
    <t>รายการจ่ายขาดเงินสะสมในปีงบประมาณ  2550</t>
  </si>
  <si>
    <t>ยกมา 1 สิงหาคม 2551 (636,384.16 + 1,272,904.14)</t>
  </si>
  <si>
    <t>0010951</t>
  </si>
  <si>
    <t>0010959</t>
  </si>
  <si>
    <t>0020203</t>
  </si>
  <si>
    <t>0029283</t>
  </si>
  <si>
    <t>0017471</t>
  </si>
  <si>
    <t>0033685</t>
  </si>
  <si>
    <t>0033686</t>
  </si>
  <si>
    <t>0033687</t>
  </si>
  <si>
    <t>0033688</t>
  </si>
  <si>
    <t>0033708</t>
  </si>
  <si>
    <t>0033716</t>
  </si>
  <si>
    <t>0033720</t>
  </si>
  <si>
    <t>0033721</t>
  </si>
  <si>
    <t>0033722</t>
  </si>
  <si>
    <t>0033723</t>
  </si>
  <si>
    <t>0033727</t>
  </si>
  <si>
    <t>0033729</t>
  </si>
  <si>
    <t>0033734</t>
  </si>
  <si>
    <t>0033735</t>
  </si>
  <si>
    <t>0033736</t>
  </si>
  <si>
    <t>0033737</t>
  </si>
  <si>
    <t>0033738</t>
  </si>
  <si>
    <t>0033739</t>
  </si>
  <si>
    <t>0033740</t>
  </si>
  <si>
    <t>0033741</t>
  </si>
  <si>
    <t>0033742</t>
  </si>
  <si>
    <t>0033743</t>
  </si>
  <si>
    <t>0033744</t>
  </si>
  <si>
    <t>0033745</t>
  </si>
  <si>
    <t>0033747</t>
  </si>
  <si>
    <t>0033748</t>
  </si>
  <si>
    <t>0033749</t>
  </si>
  <si>
    <t>0033746</t>
  </si>
  <si>
    <t>0033751</t>
  </si>
  <si>
    <t>0033764</t>
  </si>
  <si>
    <t>0033753</t>
  </si>
  <si>
    <t>0033754</t>
  </si>
  <si>
    <t>0033755</t>
  </si>
  <si>
    <t>0033756</t>
  </si>
  <si>
    <t>0033757</t>
  </si>
  <si>
    <t>0033758</t>
  </si>
  <si>
    <t>0033759</t>
  </si>
  <si>
    <t>0033760</t>
  </si>
  <si>
    <t>0033761</t>
  </si>
  <si>
    <t>0033762</t>
  </si>
  <si>
    <t>0033763</t>
  </si>
  <si>
    <t>0033765</t>
  </si>
  <si>
    <t>0033766</t>
  </si>
  <si>
    <t>0033767</t>
  </si>
  <si>
    <t>0033768</t>
  </si>
  <si>
    <t>0033769</t>
  </si>
  <si>
    <t>0033770</t>
  </si>
  <si>
    <t>0033771</t>
  </si>
  <si>
    <t>0033772</t>
  </si>
  <si>
    <t>0033773</t>
  </si>
  <si>
    <t>0033774</t>
  </si>
  <si>
    <t>0033775</t>
  </si>
  <si>
    <t>0033776</t>
  </si>
  <si>
    <t>0033777</t>
  </si>
  <si>
    <t>ลงชื่อ ...................... วันที่  30  กันยายน  2551</t>
  </si>
  <si>
    <t>ลงชื่อ .........................วันที่  30  กันยายน  2551</t>
  </si>
  <si>
    <t xml:space="preserve">  ตำแหน่ง    หัวหน้าส่วนการคลัง</t>
  </si>
  <si>
    <t>รายละเอียดประกอบงบทรัพย์สิน</t>
  </si>
  <si>
    <t>ณ  วันที่  30  กันยายน  2555</t>
  </si>
  <si>
    <t>ยกมาจากงวดก่อน</t>
  </si>
  <si>
    <t>รับเพิ่มงวดนี้</t>
  </si>
  <si>
    <t>จำหน่ายงวดนี้</t>
  </si>
  <si>
    <t>ยกไปงวดหน้า</t>
  </si>
  <si>
    <t>ก. อสังหาริมทรัพย์</t>
  </si>
  <si>
    <t>ข. สังหาริมทรัพย์</t>
  </si>
  <si>
    <t xml:space="preserve">  1. ครุภัณฑ์สำนักงาน</t>
  </si>
  <si>
    <t xml:space="preserve">  2. ครุภัณฑ์โฆษณา</t>
  </si>
  <si>
    <t xml:space="preserve">  3. ครุภัณฑ์คอมพิวเตอร์</t>
  </si>
  <si>
    <t xml:space="preserve">  4. ครุภัณฑ์ไฟฟ้าและวิทยุ</t>
  </si>
  <si>
    <t xml:space="preserve">  5. ครุภัณฑ์ประปา</t>
  </si>
  <si>
    <t xml:space="preserve">  6. ครุภัณฑ์งานบ้านงานครัว</t>
  </si>
  <si>
    <t xml:space="preserve">  7. ครุภัณฑ์สำรวจ</t>
  </si>
  <si>
    <t xml:space="preserve">  8. ครุภัณฑ์ยานพาหนะและขนส่ง</t>
  </si>
  <si>
    <t>ณ  วันที่  30  กันยายน  2550</t>
  </si>
  <si>
    <t>ประเภททรัพย์สิน</t>
  </si>
  <si>
    <t xml:space="preserve"> 3. ระบบประปาหมู่บ้าน</t>
  </si>
  <si>
    <t xml:space="preserve"> 4. อาคารห้องประชุม อบต.</t>
  </si>
  <si>
    <t xml:space="preserve"> 5. ก่อสร้างป้ายประชาสัมพันธ์</t>
  </si>
  <si>
    <t xml:space="preserve"> 6. ระบบขยายเสียงแบบไร้สาย</t>
  </si>
  <si>
    <t>ณ  วันที่  30  กันยายน  2552</t>
  </si>
  <si>
    <t xml:space="preserve"> 7. อาคารเอนกประสงค์</t>
  </si>
  <si>
    <t xml:space="preserve"> 8. ห้องน้ำศูนย์พัฒนาเด็กเล็กน้ำหัก</t>
  </si>
  <si>
    <t>ณ  วันที่  30  กันยายน  2553</t>
  </si>
  <si>
    <t>ณ  วันที่  30  กันยายน  2554</t>
  </si>
  <si>
    <t xml:space="preserve"> 1. ศูนย์ อปพร.</t>
  </si>
  <si>
    <t xml:space="preserve"> 2. รั้วหน้า อบต.</t>
  </si>
  <si>
    <t xml:space="preserve">  9. ครุภัณฑ์สนาม(เครื่องเล่นเด็ก)</t>
  </si>
  <si>
    <t xml:space="preserve">  10. อื่น ๆ </t>
  </si>
  <si>
    <t>หมายเหตุ 1</t>
  </si>
  <si>
    <t>งบทรัพย์สิน</t>
  </si>
  <si>
    <t>ราคาทรัพย์สิน</t>
  </si>
  <si>
    <t>แหล่งที่มาของทรัพย์สิน</t>
  </si>
  <si>
    <t>ชื่อ</t>
  </si>
  <si>
    <t>ศูนย์ อปพร.</t>
  </si>
  <si>
    <t>ครุภัณฑ์สำนักงาน</t>
  </si>
  <si>
    <t>ครุภัณฑ์โฆษณา</t>
  </si>
  <si>
    <t>ครุภัณฑ์คอมพิวเตอร์</t>
  </si>
  <si>
    <t>ครุภัณฑ์ไฟฟ้าและวิทยุ</t>
  </si>
  <si>
    <t>ครุภัณฑ์ประปา</t>
  </si>
  <si>
    <t>ครุภัณฑ์งานบ้านงานครัว</t>
  </si>
  <si>
    <t>ครุภัณฑ์สำรวจ</t>
  </si>
  <si>
    <t>ครุภัณฑ์ยานพาหนะและขนส่ง</t>
  </si>
  <si>
    <t xml:space="preserve">           (นายบัญชา  ศักดา)                      (นายดารากร  ปล้องคง)             (นางสนธยา  จันทร์จร)</t>
  </si>
  <si>
    <t>นายกองค์การบริหารส่วนตำบลน้ำหัก       ปลัดองค์การบริหารส่วนตำบลน้ำหัก       ผู้อำนวยการกองคลัง</t>
  </si>
  <si>
    <t xml:space="preserve"> 2. เงินอุดหนุนจาก</t>
  </si>
  <si>
    <t>รัฐบาล</t>
  </si>
  <si>
    <t xml:space="preserve"> 3. เงินอุดหนุน</t>
  </si>
  <si>
    <t>เฉพาะกิจ</t>
  </si>
  <si>
    <t xml:space="preserve"> 1. รายได้จาก อบต.</t>
  </si>
  <si>
    <t>รั้วหน้า อบต.</t>
  </si>
  <si>
    <t>อาคารห้องประชุม อบต.</t>
  </si>
  <si>
    <t>ป้ายประชาสัมพันธ์</t>
  </si>
  <si>
    <t>ระบบขยายเสียงแบบไร้สาย</t>
  </si>
  <si>
    <t>ทรัพย์สิน</t>
  </si>
  <si>
    <t>ทรัพย์สินตามงบทรัพย์สิน</t>
  </si>
  <si>
    <t>(หมายเหตุ 1)</t>
  </si>
  <si>
    <t>เงินสด เงินฝากธนาคาร เงินฝากจังหวัด</t>
  </si>
  <si>
    <t>(หมายเหตุ 2)</t>
  </si>
  <si>
    <t>หนี้สินและเงินสะสม</t>
  </si>
  <si>
    <t>ทุนทรัพย์สิน</t>
  </si>
  <si>
    <t>เงินรับฝากต่าง ๆ</t>
  </si>
  <si>
    <t>เงินทุนสำรองเงินสะสม</t>
  </si>
  <si>
    <t xml:space="preserve">หมายเหตุประกอบ       </t>
  </si>
  <si>
    <t>เงินฝากธนาคาร ธกส.-ออมทรัพย์-131-2-20870-5</t>
  </si>
  <si>
    <t>เงินฝากธนาคาร ธกส.-ออมทรัพย์-131-2-27562-7</t>
  </si>
  <si>
    <t>เงินฝากธนาคารกรุงไทย-ออมทรัพย์-830-1-06717-9</t>
  </si>
  <si>
    <t>เงินฝากธนาคารกรุงไทย-ประจำ 3 เดือน-830-2-00916-4</t>
  </si>
  <si>
    <t>เงินฝากธนาคารกรุงไทย-กระแสรายวัน 830-6-00439-6</t>
  </si>
  <si>
    <t>เงินฝากธนาคาร ธกส.-ออมทรัพย์-131-2-35328-1</t>
  </si>
  <si>
    <t>เงินสด  เงินฝากธนาคาร  (หมายเหตุ 1)</t>
  </si>
  <si>
    <t>เงินมัดจำประกันสัญญา</t>
  </si>
  <si>
    <t>เงินค่าใช้จ่าย 5%</t>
  </si>
  <si>
    <t>เงินส่วนลด 6%</t>
  </si>
  <si>
    <t>เงินภาษีหัก ณ ที่จ่าย</t>
  </si>
  <si>
    <t>เงินเศรษฐกิจชุมชน</t>
  </si>
  <si>
    <t>เงินอุดหนุนเฉพาะกิจค้างจ่าย(ผู้พิการ)</t>
  </si>
  <si>
    <t>เงินอุดหนุนเฉพาะกิจค้างจ่าย(ผู้สูงอายุ)</t>
  </si>
  <si>
    <t>เงินศูนย์พัฒนาครอบครัว</t>
  </si>
  <si>
    <t>เงินระบบหลักประกันสุขภาพตำบล</t>
  </si>
  <si>
    <t>เงินรับฝาก      (หมายเหตุ 3)</t>
  </si>
  <si>
    <t>อาหารเสริม-นม</t>
  </si>
  <si>
    <t>เงินโครงการ สสส.</t>
  </si>
  <si>
    <t>หมวด/ประเภท</t>
  </si>
  <si>
    <t>เบิกจ่ายแล้ว</t>
  </si>
  <si>
    <t>คงเหลือ</t>
  </si>
  <si>
    <t>หมายเหตุ</t>
  </si>
  <si>
    <t>ก่อหนี้ผูกพัน</t>
  </si>
  <si>
    <t>ไม่ก่อหนี้ผูกพัน</t>
  </si>
  <si>
    <t>หมวดค่าใช้สอย</t>
  </si>
  <si>
    <t>1. อาหารกลางวัน</t>
  </si>
  <si>
    <t xml:space="preserve"> ฎ 903/ป 482</t>
  </si>
  <si>
    <t xml:space="preserve"> - ศูนย์ฯหินลาด </t>
  </si>
  <si>
    <t>ลงวันที่</t>
  </si>
  <si>
    <t xml:space="preserve"> - ศูนย์ฯน้ำหัก </t>
  </si>
  <si>
    <t xml:space="preserve"> 28 ก.ย.55</t>
  </si>
  <si>
    <t>หมวดค่าวัสดุ</t>
  </si>
  <si>
    <t>1. อาหารเสริม(นม)</t>
  </si>
  <si>
    <t xml:space="preserve"> ฎ 902/ป 481</t>
  </si>
  <si>
    <t>หมวดค่าครุภัณฑ์</t>
  </si>
  <si>
    <t>1. คอมพิวเตอร์ 1 ชุด</t>
  </si>
  <si>
    <t xml:space="preserve"> ฎ 908/ป 487</t>
  </si>
  <si>
    <t>2. ซ่อมรถยนต์ส่วนกลาง</t>
  </si>
  <si>
    <t xml:space="preserve"> ฏ 907/ป 487</t>
  </si>
  <si>
    <t>หมวดค่าที่ดินและสิ่งก่อสร้าง</t>
  </si>
  <si>
    <t>1. โครงการปรับปรุงภูมิทัศน์</t>
  </si>
  <si>
    <t>ฎ 901/ป 480</t>
  </si>
  <si>
    <t>รอบบริเวณที่ทำการ อบต.น้ำหัก</t>
  </si>
  <si>
    <t xml:space="preserve"> รวม</t>
  </si>
  <si>
    <t xml:space="preserve">ผู้จัดทำ </t>
  </si>
  <si>
    <t xml:space="preserve">        (ลงชื่อ) .............................................</t>
  </si>
  <si>
    <t xml:space="preserve">           (ลงชื่อ) ..............................</t>
  </si>
  <si>
    <t xml:space="preserve">        ตำแหน่ง  เจ้าพนักงานการเงินและบัญชี</t>
  </si>
  <si>
    <t xml:space="preserve">          ตำแหน่ง  ผู้อำนวยการกองคลัง</t>
  </si>
  <si>
    <t>หมายเหตุ  2</t>
  </si>
  <si>
    <t>เช็คยกเลิกปี 51</t>
  </si>
  <si>
    <t xml:space="preserve"> 26 ต.ค.50</t>
  </si>
  <si>
    <t xml:space="preserve"> 0023624</t>
  </si>
  <si>
    <t xml:space="preserve"> 13 ธ.ค. 50</t>
  </si>
  <si>
    <t xml:space="preserve"> 0023654</t>
  </si>
  <si>
    <t xml:space="preserve"> 28 มี.ค. 51</t>
  </si>
  <si>
    <t xml:space="preserve"> 0029208</t>
  </si>
  <si>
    <t xml:space="preserve"> 21 เม.ย. 51</t>
  </si>
  <si>
    <t xml:space="preserve"> 0029225</t>
  </si>
  <si>
    <t xml:space="preserve"> 23 พ.ค. 51</t>
  </si>
  <si>
    <t xml:space="preserve"> 0029253</t>
  </si>
  <si>
    <t xml:space="preserve"> 9 มิ.ย. 51</t>
  </si>
  <si>
    <t xml:space="preserve"> 0029264</t>
  </si>
  <si>
    <t xml:space="preserve"> 26 มิ.ย. 51</t>
  </si>
  <si>
    <t xml:space="preserve"> 0029285</t>
  </si>
  <si>
    <t xml:space="preserve">  26 มิ.ย. 51</t>
  </si>
  <si>
    <t xml:space="preserve"> 0029289</t>
  </si>
  <si>
    <t xml:space="preserve"> 14 ก.ค. 51</t>
  </si>
  <si>
    <t xml:space="preserve"> 0033681</t>
  </si>
  <si>
    <t xml:space="preserve"> 0033733</t>
  </si>
  <si>
    <t xml:space="preserve"> 0033746</t>
  </si>
  <si>
    <t xml:space="preserve"> 0033752</t>
  </si>
  <si>
    <t>เช็คยกเลิกปี 52</t>
  </si>
  <si>
    <t xml:space="preserve"> 28 พ.ย. 51</t>
  </si>
  <si>
    <t xml:space="preserve"> 0037378</t>
  </si>
  <si>
    <t xml:space="preserve"> 3 ธ.ค. 51</t>
  </si>
  <si>
    <t xml:space="preserve"> 0037380</t>
  </si>
  <si>
    <t xml:space="preserve"> 9 ธ.ค. 51</t>
  </si>
  <si>
    <t xml:space="preserve"> 0037391</t>
  </si>
  <si>
    <t xml:space="preserve"> 15 ธ.ค. 51</t>
  </si>
  <si>
    <t xml:space="preserve"> 0037395</t>
  </si>
  <si>
    <t xml:space="preserve"> 25 ธ.ค. 51</t>
  </si>
  <si>
    <t xml:space="preserve"> 0037401</t>
  </si>
  <si>
    <t xml:space="preserve"> 13 ม.ค. 52</t>
  </si>
  <si>
    <t>0037413</t>
  </si>
  <si>
    <t xml:space="preserve"> 21 ม.ค. 52</t>
  </si>
  <si>
    <t xml:space="preserve"> 0037418</t>
  </si>
  <si>
    <t xml:space="preserve"> 25 ก.พ. 52</t>
  </si>
  <si>
    <t xml:space="preserve"> 0037442</t>
  </si>
  <si>
    <t xml:space="preserve"> 8 เม.ย. 52</t>
  </si>
  <si>
    <t xml:space="preserve"> 0041818</t>
  </si>
  <si>
    <t xml:space="preserve"> 24 เม.ย. 52</t>
  </si>
  <si>
    <t xml:space="preserve"> 0041823</t>
  </si>
  <si>
    <t xml:space="preserve"> 29 เม.ย. 52</t>
  </si>
  <si>
    <t xml:space="preserve"> 0041840</t>
  </si>
  <si>
    <t xml:space="preserve"> 4 พ.ค. 52</t>
  </si>
  <si>
    <t xml:space="preserve"> 0041848</t>
  </si>
  <si>
    <t xml:space="preserve"> 12 พ.ค. 52</t>
  </si>
  <si>
    <t xml:space="preserve"> 0041857</t>
  </si>
  <si>
    <t xml:space="preserve"> 10 ก.ค. 52</t>
  </si>
  <si>
    <t xml:space="preserve"> 0044385</t>
  </si>
  <si>
    <t xml:space="preserve"> 0044388</t>
  </si>
  <si>
    <t xml:space="preserve"> 16 ก.ค. 52</t>
  </si>
  <si>
    <t xml:space="preserve"> 0044398</t>
  </si>
  <si>
    <t xml:space="preserve"> 21 ก.ค. 52</t>
  </si>
  <si>
    <t xml:space="preserve"> 0044403</t>
  </si>
  <si>
    <t xml:space="preserve"> 30 ก.ค. 52</t>
  </si>
  <si>
    <t xml:space="preserve"> 0044436</t>
  </si>
  <si>
    <t xml:space="preserve"> 13 ส.ค. 52</t>
  </si>
  <si>
    <t xml:space="preserve"> 0044439</t>
  </si>
  <si>
    <t xml:space="preserve"> 0044445</t>
  </si>
  <si>
    <t xml:space="preserve"> 19 ส.ค. 52</t>
  </si>
  <si>
    <t xml:space="preserve"> 0044459</t>
  </si>
  <si>
    <t xml:space="preserve"> 28 ส.ค. 52</t>
  </si>
  <si>
    <t xml:space="preserve"> 0044463</t>
  </si>
  <si>
    <t xml:space="preserve"> 30 ก.ย. 52</t>
  </si>
  <si>
    <t xml:space="preserve"> 0047639</t>
  </si>
  <si>
    <t>ยกเลิก</t>
  </si>
  <si>
    <t>จ่ายใหม่</t>
  </si>
  <si>
    <t>ยกเลิกสุทธิ</t>
  </si>
  <si>
    <t>ยกเลิก(-)/เบิกเพิ่ม(+)</t>
  </si>
  <si>
    <t xml:space="preserve">     เงินรับฝาก-สปสช.</t>
  </si>
  <si>
    <t>เงินรับฝาก-สปสช.</t>
  </si>
  <si>
    <t xml:space="preserve">  1. ศูนย์ อปพร.</t>
  </si>
  <si>
    <t>1.รายได้จาก อบต.</t>
  </si>
  <si>
    <t xml:space="preserve">  2. รั้วหน้า อบต.</t>
  </si>
  <si>
    <t>2. เงินอุดหนุนจากรัฐบาล</t>
  </si>
  <si>
    <t xml:space="preserve">  3. ระบบประปาหมู่บ้าน</t>
  </si>
  <si>
    <t>3. เงินอุดหนุนเฉพาะกิจ</t>
  </si>
  <si>
    <t xml:space="preserve">  4. อาคารห้องประชุม อบต.</t>
  </si>
  <si>
    <t xml:space="preserve">  5. ป้ายประชาสัมพันธ์</t>
  </si>
  <si>
    <t xml:space="preserve">  6. ระบบขยายเสียงแบบไร้สาย</t>
  </si>
  <si>
    <t xml:space="preserve">  7. อาคารเอนกประสงค์</t>
  </si>
  <si>
    <t xml:space="preserve">  8. ห้องน้ำศูนย์พัฒนาเด็กเล็กน้ำหัก</t>
  </si>
  <si>
    <t xml:space="preserve"> 10. อื่น ๆ</t>
  </si>
  <si>
    <t xml:space="preserve">             (นายดารากร  ปล้องคง)</t>
  </si>
  <si>
    <t>ปลัดองค์การบริหารส่วนตำบล ปฏิบัติหน้าที่          (นายดารากร  ปล้องคง)              (นางสนธยา  จันทร์จร)</t>
  </si>
  <si>
    <t xml:space="preserve">    นายกองค์การบริหารส่วนตำบลน้ำหัก      ปลัดองค์การบริหารส่วนตำบลน้ำหัก         ผู้อำนวยการกองคลัง</t>
  </si>
  <si>
    <t>(นายดารากร  ปล้องคง)</t>
  </si>
  <si>
    <t>ปลัดองค์การบริหารส่วนตำบล ปฏิบัติหน้าที่           (นายดารากร  ปล้องคง)         (นางสนธยา จันทร์จร)</t>
  </si>
  <si>
    <t xml:space="preserve">     นายกองค์การบริหารส่วนตำบลน้ำหัก       ปลัดองค์การบริหารส่วนตำบลน้ำหัก   ผู้อำนวยการกองคลัง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</si>
</sst>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2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b/>
      <sz val="16"/>
      <color theme="1"/>
      <name val="Browallia New"/>
      <family val="2"/>
    </font>
    <font>
      <b/>
      <sz val="16"/>
      <name val="Browallia New"/>
      <family val="2"/>
    </font>
    <font>
      <sz val="16"/>
      <name val="Browallia New"/>
      <family val="2"/>
    </font>
    <font>
      <b/>
      <sz val="18"/>
      <name val="Browallia New"/>
      <family val="2"/>
    </font>
    <font>
      <sz val="16"/>
      <color theme="1"/>
      <name val="Cordia New"/>
      <family val="2"/>
    </font>
    <font>
      <sz val="11"/>
      <color theme="1"/>
      <name val="Cordia New"/>
      <family val="2"/>
    </font>
    <font>
      <b/>
      <sz val="16"/>
      <color theme="1"/>
      <name val="Cordia New"/>
      <family val="2"/>
    </font>
    <font>
      <sz val="16"/>
      <name val="Cordia New"/>
      <family val="2"/>
    </font>
    <font>
      <b/>
      <sz val="16"/>
      <name val="Cordia New"/>
      <family val="2"/>
    </font>
    <font>
      <sz val="14"/>
      <color theme="1"/>
      <name val="Cordia New"/>
      <family val="2"/>
    </font>
    <font>
      <b/>
      <u/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sz val="16"/>
      <color rgb="FFFF0000"/>
      <name val="Cordia New"/>
      <family val="2"/>
    </font>
    <font>
      <sz val="11"/>
      <color rgb="FFFF0000"/>
      <name val="Cordia New"/>
      <family val="2"/>
    </font>
    <font>
      <b/>
      <sz val="16"/>
      <color rgb="FFFF0000"/>
      <name val="Cordia New"/>
      <family val="2"/>
    </font>
    <font>
      <b/>
      <u val="double"/>
      <sz val="16"/>
      <color theme="1"/>
      <name val="Browallia New"/>
      <family val="2"/>
    </font>
    <font>
      <u/>
      <sz val="16"/>
      <name val="Browallia Ne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color rgb="FF0070C0"/>
      <name val="Cordia New"/>
      <family val="2"/>
    </font>
    <font>
      <sz val="11"/>
      <color rgb="FF0070C0"/>
      <name val="Cordia New"/>
      <family val="2"/>
    </font>
    <font>
      <b/>
      <sz val="10"/>
      <name val="Arial"/>
      <family val="2"/>
    </font>
    <font>
      <b/>
      <u/>
      <sz val="16"/>
      <name val="Browallia New"/>
      <family val="2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2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5" xfId="1" applyFont="1" applyBorder="1"/>
    <xf numFmtId="43" fontId="2" fillId="0" borderId="7" xfId="1" applyFont="1" applyBorder="1"/>
    <xf numFmtId="43" fontId="2" fillId="0" borderId="9" xfId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3" xfId="0" applyFont="1" applyBorder="1"/>
    <xf numFmtId="0" fontId="2" fillId="0" borderId="12" xfId="0" applyFont="1" applyBorder="1"/>
    <xf numFmtId="43" fontId="2" fillId="0" borderId="13" xfId="1" applyFont="1" applyBorder="1"/>
    <xf numFmtId="43" fontId="2" fillId="0" borderId="12" xfId="1" applyFont="1" applyBorder="1"/>
    <xf numFmtId="43" fontId="2" fillId="0" borderId="7" xfId="1" applyFont="1" applyFill="1" applyBorder="1"/>
    <xf numFmtId="43" fontId="2" fillId="0" borderId="14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4" xfId="0" applyFont="1" applyBorder="1"/>
    <xf numFmtId="187" fontId="6" fillId="0" borderId="4" xfId="1" applyNumberFormat="1" applyFont="1" applyBorder="1"/>
    <xf numFmtId="187" fontId="6" fillId="0" borderId="5" xfId="1" applyNumberFormat="1" applyFont="1" applyBorder="1"/>
    <xf numFmtId="187" fontId="6" fillId="0" borderId="16" xfId="1" applyNumberFormat="1" applyFont="1" applyBorder="1"/>
    <xf numFmtId="0" fontId="6" fillId="0" borderId="6" xfId="0" applyFont="1" applyBorder="1"/>
    <xf numFmtId="187" fontId="6" fillId="0" borderId="6" xfId="1" applyNumberFormat="1" applyFont="1" applyBorder="1"/>
    <xf numFmtId="187" fontId="6" fillId="0" borderId="7" xfId="1" applyNumberFormat="1" applyFont="1" applyBorder="1"/>
    <xf numFmtId="187" fontId="6" fillId="0" borderId="17" xfId="1" applyNumberFormat="1" applyFont="1" applyBorder="1"/>
    <xf numFmtId="0" fontId="6" fillId="0" borderId="18" xfId="0" applyFont="1" applyBorder="1"/>
    <xf numFmtId="187" fontId="6" fillId="0" borderId="18" xfId="1" applyNumberFormat="1" applyFont="1" applyBorder="1"/>
    <xf numFmtId="187" fontId="6" fillId="0" borderId="19" xfId="1" applyNumberFormat="1" applyFont="1" applyBorder="1"/>
    <xf numFmtId="187" fontId="6" fillId="0" borderId="0" xfId="1" applyNumberFormat="1" applyFont="1" applyBorder="1"/>
    <xf numFmtId="187" fontId="6" fillId="0" borderId="20" xfId="1" applyNumberFormat="1" applyFont="1" applyBorder="1"/>
    <xf numFmtId="187" fontId="6" fillId="0" borderId="14" xfId="1" applyNumberFormat="1" applyFont="1" applyBorder="1"/>
    <xf numFmtId="0" fontId="6" fillId="0" borderId="10" xfId="0" applyFont="1" applyBorder="1" applyAlignment="1">
      <alignment horizontal="center"/>
    </xf>
    <xf numFmtId="187" fontId="6" fillId="0" borderId="10" xfId="1" applyNumberFormat="1" applyFont="1" applyBorder="1"/>
    <xf numFmtId="187" fontId="6" fillId="0" borderId="1" xfId="1" applyNumberFormat="1" applyFont="1" applyBorder="1"/>
    <xf numFmtId="187" fontId="6" fillId="0" borderId="21" xfId="1" applyNumberFormat="1" applyFont="1" applyBorder="1"/>
    <xf numFmtId="0" fontId="6" fillId="0" borderId="1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88" fontId="6" fillId="0" borderId="0" xfId="1" applyNumberFormat="1" applyFont="1" applyBorder="1"/>
    <xf numFmtId="0" fontId="6" fillId="0" borderId="22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/>
    <xf numFmtId="0" fontId="6" fillId="0" borderId="0" xfId="0" applyFont="1" applyBorder="1"/>
    <xf numFmtId="0" fontId="6" fillId="0" borderId="19" xfId="0" applyFont="1" applyBorder="1"/>
    <xf numFmtId="188" fontId="6" fillId="0" borderId="19" xfId="1" applyNumberFormat="1" applyFont="1" applyBorder="1"/>
    <xf numFmtId="0" fontId="6" fillId="0" borderId="23" xfId="0" applyFont="1" applyBorder="1" applyAlignment="1">
      <alignment horizontal="center"/>
    </xf>
    <xf numFmtId="0" fontId="6" fillId="0" borderId="3" xfId="0" applyFont="1" applyBorder="1"/>
    <xf numFmtId="0" fontId="6" fillId="0" borderId="24" xfId="0" applyFont="1" applyBorder="1"/>
    <xf numFmtId="188" fontId="6" fillId="0" borderId="25" xfId="0" applyNumberFormat="1" applyFont="1" applyBorder="1"/>
    <xf numFmtId="0" fontId="6" fillId="0" borderId="12" xfId="0" applyFont="1" applyBorder="1" applyAlignment="1">
      <alignment horizontal="center"/>
    </xf>
    <xf numFmtId="188" fontId="6" fillId="0" borderId="12" xfId="0" applyNumberFormat="1" applyFont="1" applyBorder="1"/>
    <xf numFmtId="0" fontId="6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/>
    <xf numFmtId="43" fontId="8" fillId="0" borderId="5" xfId="1" applyFont="1" applyBorder="1"/>
    <xf numFmtId="0" fontId="9" fillId="0" borderId="0" xfId="0" applyFont="1"/>
    <xf numFmtId="0" fontId="10" fillId="0" borderId="7" xfId="0" applyFont="1" applyBorder="1" applyAlignment="1">
      <alignment horizontal="center"/>
    </xf>
    <xf numFmtId="43" fontId="8" fillId="0" borderId="7" xfId="1" applyFont="1" applyBorder="1"/>
    <xf numFmtId="0" fontId="11" fillId="0" borderId="7" xfId="0" applyFont="1" applyBorder="1"/>
    <xf numFmtId="43" fontId="8" fillId="0" borderId="7" xfId="1" applyFont="1" applyBorder="1" applyAlignment="1">
      <alignment vertical="top"/>
    </xf>
    <xf numFmtId="0" fontId="12" fillId="0" borderId="7" xfId="0" applyFont="1" applyBorder="1" applyAlignment="1">
      <alignment horizontal="center"/>
    </xf>
    <xf numFmtId="43" fontId="10" fillId="0" borderId="7" xfId="1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3" xfId="0" applyFont="1" applyBorder="1"/>
    <xf numFmtId="43" fontId="8" fillId="0" borderId="13" xfId="1" applyFont="1" applyBorder="1"/>
    <xf numFmtId="0" fontId="8" fillId="0" borderId="7" xfId="0" applyFont="1" applyFill="1" applyBorder="1"/>
    <xf numFmtId="0" fontId="13" fillId="0" borderId="7" xfId="0" applyFont="1" applyFill="1" applyBorder="1"/>
    <xf numFmtId="0" fontId="8" fillId="0" borderId="13" xfId="0" applyFont="1" applyFill="1" applyBorder="1"/>
    <xf numFmtId="0" fontId="10" fillId="0" borderId="7" xfId="0" applyFont="1" applyFill="1" applyBorder="1" applyAlignment="1">
      <alignment horizontal="center"/>
    </xf>
    <xf numFmtId="43" fontId="8" fillId="0" borderId="9" xfId="1" applyFont="1" applyBorder="1"/>
    <xf numFmtId="0" fontId="9" fillId="0" borderId="0" xfId="0" applyFont="1" applyBorder="1"/>
    <xf numFmtId="43" fontId="8" fillId="0" borderId="14" xfId="1" applyFont="1" applyBorder="1"/>
    <xf numFmtId="0" fontId="8" fillId="0" borderId="18" xfId="0" applyFont="1" applyBorder="1"/>
    <xf numFmtId="0" fontId="8" fillId="0" borderId="24" xfId="0" applyFont="1" applyBorder="1" applyAlignment="1">
      <alignment horizontal="center"/>
    </xf>
    <xf numFmtId="43" fontId="8" fillId="0" borderId="5" xfId="0" applyNumberFormat="1" applyFont="1" applyBorder="1"/>
    <xf numFmtId="43" fontId="8" fillId="0" borderId="7" xfId="0" applyNumberFormat="1" applyFont="1" applyBorder="1"/>
    <xf numFmtId="43" fontId="8" fillId="0" borderId="13" xfId="0" applyNumberFormat="1" applyFont="1" applyBorder="1"/>
    <xf numFmtId="0" fontId="2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4" xfId="0" applyFont="1" applyFill="1" applyBorder="1"/>
    <xf numFmtId="0" fontId="8" fillId="0" borderId="14" xfId="0" applyFont="1" applyBorder="1"/>
    <xf numFmtId="43" fontId="8" fillId="0" borderId="14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2" fillId="0" borderId="0" xfId="1" applyFont="1"/>
    <xf numFmtId="0" fontId="2" fillId="0" borderId="18" xfId="0" applyFont="1" applyBorder="1"/>
    <xf numFmtId="43" fontId="2" fillId="0" borderId="0" xfId="1" applyFont="1" applyBorder="1"/>
    <xf numFmtId="0" fontId="2" fillId="0" borderId="19" xfId="0" applyFont="1" applyBorder="1"/>
    <xf numFmtId="43" fontId="2" fillId="0" borderId="19" xfId="1" applyFont="1" applyBorder="1"/>
    <xf numFmtId="0" fontId="2" fillId="0" borderId="21" xfId="0" applyFont="1" applyBorder="1" applyAlignment="1">
      <alignment horizontal="center"/>
    </xf>
    <xf numFmtId="0" fontId="14" fillId="0" borderId="0" xfId="0" applyFont="1"/>
    <xf numFmtId="0" fontId="4" fillId="0" borderId="0" xfId="0" applyFont="1"/>
    <xf numFmtId="43" fontId="4" fillId="0" borderId="0" xfId="1" applyFont="1"/>
    <xf numFmtId="43" fontId="15" fillId="0" borderId="0" xfId="1" applyFont="1"/>
    <xf numFmtId="43" fontId="4" fillId="0" borderId="30" xfId="1" applyFont="1" applyBorder="1"/>
    <xf numFmtId="43" fontId="8" fillId="0" borderId="6" xfId="0" applyNumberFormat="1" applyFont="1" applyBorder="1"/>
    <xf numFmtId="0" fontId="8" fillId="0" borderId="9" xfId="0" applyFont="1" applyFill="1" applyBorder="1"/>
    <xf numFmtId="0" fontId="8" fillId="0" borderId="9" xfId="0" applyFont="1" applyBorder="1"/>
    <xf numFmtId="43" fontId="8" fillId="0" borderId="9" xfId="0" applyNumberFormat="1" applyFont="1" applyBorder="1"/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3" fontId="18" fillId="0" borderId="1" xfId="1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" fillId="0" borderId="23" xfId="1" applyFont="1" applyBorder="1"/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6" fillId="0" borderId="19" xfId="0" applyNumberFormat="1" applyFont="1" applyBorder="1"/>
    <xf numFmtId="49" fontId="6" fillId="0" borderId="12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49" fontId="6" fillId="0" borderId="23" xfId="0" applyNumberFormat="1" applyFont="1" applyBorder="1"/>
    <xf numFmtId="43" fontId="6" fillId="0" borderId="19" xfId="1" applyFont="1" applyBorder="1"/>
    <xf numFmtId="189" fontId="6" fillId="0" borderId="19" xfId="1" applyNumberFormat="1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" xfId="1" applyFont="1" applyBorder="1"/>
    <xf numFmtId="0" fontId="4" fillId="0" borderId="21" xfId="0" applyFont="1" applyBorder="1"/>
    <xf numFmtId="0" fontId="19" fillId="0" borderId="0" xfId="0" applyFont="1"/>
    <xf numFmtId="43" fontId="19" fillId="0" borderId="0" xfId="1" applyFont="1"/>
    <xf numFmtId="0" fontId="0" fillId="0" borderId="19" xfId="0" applyBorder="1"/>
    <xf numFmtId="0" fontId="0" fillId="0" borderId="24" xfId="0" applyBorder="1"/>
    <xf numFmtId="0" fontId="2" fillId="0" borderId="1" xfId="0" applyFont="1" applyFill="1" applyBorder="1" applyAlignment="1">
      <alignment horizontal="center"/>
    </xf>
    <xf numFmtId="43" fontId="6" fillId="0" borderId="0" xfId="1" applyFont="1" applyBorder="1"/>
    <xf numFmtId="43" fontId="6" fillId="0" borderId="19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8" fillId="0" borderId="0" xfId="1" applyFont="1"/>
    <xf numFmtId="43" fontId="8" fillId="0" borderId="0" xfId="0" applyNumberFormat="1" applyFont="1"/>
    <xf numFmtId="187" fontId="8" fillId="0" borderId="0" xfId="0" applyNumberFormat="1" applyFont="1" applyBorder="1"/>
    <xf numFmtId="0" fontId="5" fillId="0" borderId="28" xfId="0" applyFont="1" applyBorder="1"/>
    <xf numFmtId="0" fontId="5" fillId="0" borderId="2" xfId="0" applyFont="1" applyBorder="1"/>
    <xf numFmtId="0" fontId="5" fillId="0" borderId="15" xfId="0" applyFont="1" applyBorder="1"/>
    <xf numFmtId="0" fontId="5" fillId="0" borderId="3" xfId="0" applyFont="1" applyBorder="1"/>
    <xf numFmtId="0" fontId="5" fillId="0" borderId="0" xfId="0" applyFont="1"/>
    <xf numFmtId="187" fontId="5" fillId="0" borderId="18" xfId="1" applyNumberFormat="1" applyFont="1" applyBorder="1"/>
    <xf numFmtId="0" fontId="20" fillId="0" borderId="0" xfId="0" applyFont="1" applyAlignment="1">
      <alignment horizontal="center"/>
    </xf>
    <xf numFmtId="187" fontId="6" fillId="0" borderId="0" xfId="1" applyNumberFormat="1" applyFont="1"/>
    <xf numFmtId="0" fontId="6" fillId="0" borderId="31" xfId="0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187" fontId="6" fillId="0" borderId="31" xfId="1" applyNumberFormat="1" applyFont="1" applyBorder="1" applyAlignment="1">
      <alignment horizontal="center"/>
    </xf>
    <xf numFmtId="0" fontId="6" fillId="0" borderId="31" xfId="0" applyFont="1" applyBorder="1"/>
    <xf numFmtId="187" fontId="6" fillId="0" borderId="32" xfId="1" applyNumberFormat="1" applyFont="1" applyBorder="1"/>
    <xf numFmtId="187" fontId="6" fillId="0" borderId="31" xfId="1" applyNumberFormat="1" applyFont="1" applyBorder="1"/>
    <xf numFmtId="0" fontId="6" fillId="0" borderId="33" xfId="0" applyFont="1" applyBorder="1"/>
    <xf numFmtId="49" fontId="6" fillId="0" borderId="33" xfId="0" applyNumberFormat="1" applyFont="1" applyBorder="1"/>
    <xf numFmtId="187" fontId="6" fillId="0" borderId="33" xfId="1" applyNumberFormat="1" applyFont="1" applyBorder="1"/>
    <xf numFmtId="187" fontId="6" fillId="0" borderId="34" xfId="1" applyNumberFormat="1" applyFont="1" applyBorder="1"/>
    <xf numFmtId="0" fontId="20" fillId="0" borderId="0" xfId="0" applyFont="1"/>
    <xf numFmtId="187" fontId="5" fillId="0" borderId="0" xfId="1" applyNumberFormat="1" applyFont="1" applyBorder="1"/>
    <xf numFmtId="0" fontId="6" fillId="0" borderId="28" xfId="0" applyFont="1" applyBorder="1"/>
    <xf numFmtId="0" fontId="6" fillId="0" borderId="2" xfId="0" applyFont="1" applyBorder="1"/>
    <xf numFmtId="43" fontId="15" fillId="0" borderId="0" xfId="1" applyFont="1" applyBorder="1"/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36" xfId="0" applyFont="1" applyBorder="1"/>
    <xf numFmtId="0" fontId="2" fillId="0" borderId="35" xfId="0" applyFont="1" applyBorder="1"/>
    <xf numFmtId="43" fontId="2" fillId="0" borderId="37" xfId="1" applyFont="1" applyBorder="1"/>
    <xf numFmtId="43" fontId="2" fillId="0" borderId="35" xfId="1" applyFont="1" applyBorder="1"/>
    <xf numFmtId="0" fontId="2" fillId="0" borderId="34" xfId="0" applyFont="1" applyBorder="1"/>
    <xf numFmtId="0" fontId="2" fillId="0" borderId="38" xfId="0" applyFont="1" applyBorder="1"/>
    <xf numFmtId="43" fontId="2" fillId="0" borderId="33" xfId="1" applyFont="1" applyBorder="1"/>
    <xf numFmtId="43" fontId="2" fillId="0" borderId="38" xfId="1" applyFont="1" applyBorder="1"/>
    <xf numFmtId="0" fontId="2" fillId="0" borderId="36" xfId="0" applyFont="1" applyBorder="1" applyAlignment="1">
      <alignment horizontal="center"/>
    </xf>
    <xf numFmtId="43" fontId="2" fillId="0" borderId="39" xfId="1" applyFont="1" applyBorder="1"/>
    <xf numFmtId="0" fontId="2" fillId="0" borderId="34" xfId="0" applyFont="1" applyBorder="1" applyAlignment="1">
      <alignment horizontal="center"/>
    </xf>
    <xf numFmtId="43" fontId="2" fillId="0" borderId="40" xfId="1" applyFont="1" applyBorder="1"/>
    <xf numFmtId="0" fontId="2" fillId="0" borderId="3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43" fontId="6" fillId="0" borderId="0" xfId="0" applyNumberFormat="1" applyFont="1" applyBorder="1"/>
    <xf numFmtId="0" fontId="6" fillId="0" borderId="33" xfId="0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3" fontId="8" fillId="0" borderId="0" xfId="1" applyFont="1" applyBorder="1"/>
    <xf numFmtId="43" fontId="8" fillId="0" borderId="0" xfId="0" applyNumberFormat="1" applyFont="1" applyBorder="1"/>
    <xf numFmtId="0" fontId="16" fillId="0" borderId="0" xfId="0" applyFont="1" applyBorder="1"/>
    <xf numFmtId="0" fontId="16" fillId="0" borderId="0" xfId="0" applyFont="1" applyFill="1" applyBorder="1"/>
    <xf numFmtId="0" fontId="23" fillId="0" borderId="1" xfId="0" applyFont="1" applyFill="1" applyBorder="1" applyAlignment="1">
      <alignment horizontal="center"/>
    </xf>
    <xf numFmtId="43" fontId="23" fillId="0" borderId="1" xfId="1" applyFont="1" applyBorder="1"/>
    <xf numFmtId="0" fontId="23" fillId="0" borderId="0" xfId="0" applyFont="1" applyBorder="1"/>
    <xf numFmtId="0" fontId="24" fillId="0" borderId="0" xfId="0" applyFont="1"/>
    <xf numFmtId="43" fontId="23" fillId="0" borderId="1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5" fillId="0" borderId="18" xfId="0" applyFont="1" applyBorder="1"/>
    <xf numFmtId="0" fontId="6" fillId="0" borderId="18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43" fontId="6" fillId="0" borderId="0" xfId="1" applyFont="1"/>
    <xf numFmtId="43" fontId="6" fillId="0" borderId="22" xfId="1" applyFont="1" applyBorder="1" applyAlignment="1">
      <alignment horizontal="center"/>
    </xf>
    <xf numFmtId="43" fontId="6" fillId="0" borderId="28" xfId="1" applyFont="1" applyBorder="1" applyAlignment="1">
      <alignment horizontal="center"/>
    </xf>
    <xf numFmtId="43" fontId="6" fillId="0" borderId="27" xfId="1" applyFont="1" applyBorder="1" applyAlignment="1">
      <alignment horizontal="center"/>
    </xf>
    <xf numFmtId="43" fontId="6" fillId="0" borderId="24" xfId="1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43" fontId="6" fillId="0" borderId="29" xfId="1" applyFont="1" applyBorder="1" applyAlignment="1">
      <alignment horizontal="center"/>
    </xf>
    <xf numFmtId="43" fontId="6" fillId="0" borderId="23" xfId="1" applyFont="1" applyBorder="1"/>
    <xf numFmtId="43" fontId="5" fillId="0" borderId="12" xfId="1" applyFont="1" applyBorder="1" applyAlignment="1">
      <alignment horizontal="center"/>
    </xf>
    <xf numFmtId="43" fontId="5" fillId="0" borderId="41" xfId="1" applyFont="1" applyBorder="1" applyAlignment="1">
      <alignment horizontal="center"/>
    </xf>
    <xf numFmtId="43" fontId="5" fillId="0" borderId="26" xfId="1" applyFont="1" applyBorder="1" applyAlignment="1">
      <alignment horizontal="center"/>
    </xf>
    <xf numFmtId="43" fontId="5" fillId="0" borderId="19" xfId="1" applyFont="1" applyBorder="1"/>
    <xf numFmtId="43" fontId="5" fillId="0" borderId="23" xfId="1" applyFont="1" applyBorder="1"/>
    <xf numFmtId="43" fontId="6" fillId="0" borderId="0" xfId="0" applyNumberFormat="1" applyFont="1"/>
    <xf numFmtId="43" fontId="6" fillId="0" borderId="12" xfId="1" applyFont="1" applyBorder="1"/>
    <xf numFmtId="43" fontId="6" fillId="0" borderId="41" xfId="1" applyFont="1" applyBorder="1"/>
    <xf numFmtId="43" fontId="6" fillId="0" borderId="26" xfId="1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/>
    <xf numFmtId="43" fontId="6" fillId="0" borderId="22" xfId="1" applyFont="1" applyBorder="1" applyAlignment="1"/>
    <xf numFmtId="43" fontId="6" fillId="0" borderId="28" xfId="1" applyFont="1" applyBorder="1" applyAlignment="1"/>
    <xf numFmtId="43" fontId="6" fillId="0" borderId="27" xfId="1" applyFont="1" applyBorder="1" applyAlignment="1"/>
    <xf numFmtId="0" fontId="6" fillId="0" borderId="3" xfId="0" applyFont="1" applyBorder="1" applyAlignment="1"/>
    <xf numFmtId="43" fontId="6" fillId="0" borderId="24" xfId="1" applyFont="1" applyBorder="1" applyAlignment="1"/>
    <xf numFmtId="43" fontId="6" fillId="0" borderId="15" xfId="1" applyFont="1" applyBorder="1" applyAlignment="1"/>
    <xf numFmtId="43" fontId="6" fillId="0" borderId="29" xfId="1" applyFont="1" applyBorder="1" applyAlignment="1"/>
    <xf numFmtId="0" fontId="6" fillId="0" borderId="0" xfId="0" applyFont="1" applyBorder="1" applyAlignment="1"/>
    <xf numFmtId="0" fontId="6" fillId="0" borderId="15" xfId="0" applyFont="1" applyBorder="1"/>
    <xf numFmtId="187" fontId="6" fillId="0" borderId="19" xfId="1" applyNumberFormat="1" applyFont="1" applyBorder="1" applyAlignment="1">
      <alignment horizontal="center"/>
    </xf>
    <xf numFmtId="187" fontId="5" fillId="0" borderId="12" xfId="1" applyNumberFormat="1" applyFont="1" applyBorder="1"/>
    <xf numFmtId="187" fontId="5" fillId="0" borderId="15" xfId="1" applyNumberFormat="1" applyFont="1" applyBorder="1"/>
    <xf numFmtId="187" fontId="6" fillId="0" borderId="41" xfId="1" applyNumberFormat="1" applyFont="1" applyBorder="1"/>
    <xf numFmtId="187" fontId="5" fillId="0" borderId="41" xfId="1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187" fontId="6" fillId="0" borderId="0" xfId="1" applyNumberFormat="1" applyFont="1" applyFill="1"/>
    <xf numFmtId="0" fontId="6" fillId="0" borderId="0" xfId="0" applyFont="1" applyFill="1"/>
    <xf numFmtId="187" fontId="6" fillId="0" borderId="0" xfId="1" applyNumberFormat="1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87" fontId="6" fillId="0" borderId="15" xfId="1" applyNumberFormat="1" applyFont="1" applyBorder="1" applyAlignment="1">
      <alignment horizontal="center"/>
    </xf>
    <xf numFmtId="0" fontId="26" fillId="0" borderId="18" xfId="0" applyFont="1" applyBorder="1" applyAlignment="1">
      <alignment horizontal="left"/>
    </xf>
    <xf numFmtId="187" fontId="6" fillId="0" borderId="22" xfId="1" applyNumberFormat="1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87" fontId="6" fillId="0" borderId="42" xfId="1" applyNumberFormat="1" applyFont="1" applyFill="1" applyBorder="1"/>
    <xf numFmtId="187" fontId="6" fillId="0" borderId="31" xfId="1" applyNumberFormat="1" applyFont="1" applyFill="1" applyBorder="1"/>
    <xf numFmtId="187" fontId="6" fillId="0" borderId="42" xfId="1" applyNumberFormat="1" applyFont="1" applyFill="1" applyBorder="1" applyAlignment="1">
      <alignment horizontal="center"/>
    </xf>
    <xf numFmtId="0" fontId="6" fillId="0" borderId="42" xfId="0" applyFont="1" applyBorder="1"/>
    <xf numFmtId="188" fontId="5" fillId="0" borderId="0" xfId="1" applyNumberFormat="1" applyFont="1" applyBorder="1"/>
    <xf numFmtId="187" fontId="5" fillId="0" borderId="0" xfId="1" applyNumberFormat="1" applyFont="1" applyBorder="1" applyAlignment="1">
      <alignment horizontal="center"/>
    </xf>
    <xf numFmtId="15" fontId="6" fillId="0" borderId="0" xfId="0" applyNumberFormat="1" applyFont="1" applyBorder="1"/>
    <xf numFmtId="0" fontId="6" fillId="0" borderId="34" xfId="0" applyFont="1" applyBorder="1" applyAlignment="1">
      <alignment horizontal="left"/>
    </xf>
    <xf numFmtId="187" fontId="6" fillId="0" borderId="38" xfId="1" applyNumberFormat="1" applyFont="1" applyBorder="1"/>
    <xf numFmtId="187" fontId="6" fillId="0" borderId="33" xfId="1" applyNumberFormat="1" applyFont="1" applyBorder="1" applyAlignment="1"/>
    <xf numFmtId="187" fontId="6" fillId="0" borderId="38" xfId="1" applyNumberFormat="1" applyFont="1" applyBorder="1" applyAlignment="1">
      <alignment horizontal="center"/>
    </xf>
    <xf numFmtId="0" fontId="6" fillId="0" borderId="38" xfId="0" applyFont="1" applyBorder="1"/>
    <xf numFmtId="0" fontId="26" fillId="0" borderId="34" xfId="0" applyFont="1" applyBorder="1" applyAlignment="1">
      <alignment horizontal="left"/>
    </xf>
    <xf numFmtId="187" fontId="6" fillId="0" borderId="38" xfId="1" applyNumberFormat="1" applyFont="1" applyBorder="1" applyAlignment="1">
      <alignment horizontal="left"/>
    </xf>
    <xf numFmtId="187" fontId="6" fillId="0" borderId="33" xfId="1" applyNumberFormat="1" applyFont="1" applyBorder="1" applyAlignment="1">
      <alignment horizontal="center"/>
    </xf>
    <xf numFmtId="188" fontId="6" fillId="0" borderId="33" xfId="1" applyNumberFormat="1" applyFont="1" applyBorder="1"/>
    <xf numFmtId="0" fontId="6" fillId="0" borderId="25" xfId="0" applyFont="1" applyBorder="1" applyAlignment="1">
      <alignment horizontal="left"/>
    </xf>
    <xf numFmtId="187" fontId="6" fillId="0" borderId="12" xfId="0" applyNumberFormat="1" applyFont="1" applyBorder="1"/>
    <xf numFmtId="0" fontId="6" fillId="0" borderId="12" xfId="0" applyFont="1" applyBorder="1"/>
    <xf numFmtId="188" fontId="6" fillId="0" borderId="0" xfId="1" applyNumberFormat="1" applyFont="1"/>
    <xf numFmtId="43" fontId="0" fillId="0" borderId="0" xfId="1" applyFont="1"/>
    <xf numFmtId="4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3" borderId="0" xfId="1" applyFont="1" applyFill="1"/>
    <xf numFmtId="43" fontId="27" fillId="0" borderId="0" xfId="1" applyFont="1"/>
    <xf numFmtId="49" fontId="0" fillId="0" borderId="0" xfId="1" applyNumberFormat="1" applyFont="1" applyFill="1"/>
    <xf numFmtId="43" fontId="0" fillId="4" borderId="0" xfId="1" applyFont="1" applyFill="1"/>
    <xf numFmtId="43" fontId="28" fillId="4" borderId="0" xfId="1" applyFont="1" applyFill="1"/>
    <xf numFmtId="0" fontId="5" fillId="0" borderId="0" xfId="0" applyFont="1" applyBorder="1" applyAlignment="1">
      <alignment horizontal="center"/>
    </xf>
    <xf numFmtId="0" fontId="0" fillId="0" borderId="0" xfId="0" applyFill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5" xfId="0" applyFont="1" applyBorder="1" applyAlignment="1"/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19" xfId="0" applyFont="1" applyBorder="1"/>
    <xf numFmtId="0" fontId="6" fillId="0" borderId="19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8" xfId="0" applyFont="1" applyBorder="1"/>
    <xf numFmtId="0" fontId="2" fillId="0" borderId="0" xfId="0" applyFont="1" applyBorder="1"/>
    <xf numFmtId="0" fontId="4" fillId="0" borderId="12" xfId="0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15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1;&#3610;%2052(&#3618;&#3657;&#3629;&#3609;&#3627;&#3621;&#3633;&#3591;)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มาตรฐาน3"/>
      <sheetName val="มาตรฐาน2"/>
      <sheetName val="มาตรฐาน1"/>
      <sheetName val="รายการปรับปรุง52"/>
      <sheetName val="ปรับปรุง51"/>
      <sheetName val="ปรับปรุง53"/>
      <sheetName val="รับจ่ายจริง53"/>
      <sheetName val="สรุป51"/>
      <sheetName val="สรุป52"/>
      <sheetName val="งบทดลองหลังปิดบัญชี52"/>
      <sheetName val="งบเงินสะสม"/>
      <sheetName val="รับจ่ายจริง52"/>
      <sheetName val="รับจ่ายจริง51"/>
      <sheetName val="จ่ายขาดสะสม52"/>
      <sheetName val="ค้างจ่าย51จ่าย52"/>
      <sheetName val="ค้างจ่าย52"/>
      <sheetName val="งบแสดงฐานะ51"/>
      <sheetName val="หมายเหตุ2"/>
      <sheetName val="หมายเหตุ5"/>
      <sheetName val="กระทบยอดธนาคาร"/>
      <sheetName val="เงินฝาก(ม.1)"/>
      <sheetName val="เงินรับฝาก(ม.2)"/>
      <sheetName val="ทรัพย์สิน"/>
      <sheetName val="ประกอบทรัพย์สิ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C47">
            <v>4227491.1100000013</v>
          </cell>
        </row>
        <row r="48">
          <cell r="C48">
            <v>1056871.7775000003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0"/>
  <sheetViews>
    <sheetView workbookViewId="0">
      <pane xSplit="1" topLeftCell="B1" activePane="topRight" state="frozen"/>
      <selection pane="topRight" activeCell="A5" sqref="A5"/>
    </sheetView>
  </sheetViews>
  <sheetFormatPr defaultRowHeight="22.5"/>
  <cols>
    <col min="1" max="1" width="31" style="1" customWidth="1"/>
    <col min="2" max="5" width="11.125" style="1" customWidth="1"/>
    <col min="6" max="7" width="12.375" style="1" customWidth="1"/>
    <col min="8" max="8" width="12.5" style="1" customWidth="1"/>
    <col min="9" max="9" width="13" style="1" customWidth="1"/>
    <col min="10" max="11" width="14.875" style="1" customWidth="1"/>
    <col min="12" max="13" width="15.25" style="1" customWidth="1"/>
    <col min="14" max="17" width="14" style="1" customWidth="1"/>
    <col min="18" max="19" width="13" style="1" customWidth="1"/>
    <col min="20" max="21" width="11.625" style="1" customWidth="1"/>
    <col min="22" max="23" width="12.375" style="1" customWidth="1"/>
    <col min="24" max="25" width="11.625" style="1" customWidth="1"/>
    <col min="26" max="27" width="13.5" style="1" customWidth="1"/>
    <col min="28" max="29" width="8.375" style="1" customWidth="1"/>
    <col min="30" max="16384" width="9" style="1"/>
  </cols>
  <sheetData>
    <row r="1" spans="1:27">
      <c r="A1" s="1" t="s">
        <v>0</v>
      </c>
    </row>
    <row r="2" spans="1:27">
      <c r="A2" s="1" t="s">
        <v>1</v>
      </c>
    </row>
    <row r="3" spans="1:27">
      <c r="A3" s="6" t="s">
        <v>2</v>
      </c>
      <c r="B3" s="306" t="s">
        <v>3</v>
      </c>
      <c r="C3" s="307"/>
      <c r="D3" s="306" t="s">
        <v>12</v>
      </c>
      <c r="E3" s="308"/>
      <c r="F3" s="306" t="s">
        <v>4</v>
      </c>
      <c r="G3" s="307"/>
      <c r="H3" s="306" t="s">
        <v>5</v>
      </c>
      <c r="I3" s="308"/>
      <c r="J3" s="306" t="s">
        <v>6</v>
      </c>
      <c r="K3" s="307"/>
      <c r="L3" s="306" t="s">
        <v>7</v>
      </c>
      <c r="M3" s="308"/>
      <c r="N3" s="306" t="s">
        <v>8</v>
      </c>
      <c r="O3" s="307"/>
      <c r="P3" s="306" t="s">
        <v>13</v>
      </c>
      <c r="Q3" s="308"/>
      <c r="R3" s="306" t="s">
        <v>14</v>
      </c>
      <c r="S3" s="307"/>
      <c r="T3" s="306" t="s">
        <v>15</v>
      </c>
      <c r="U3" s="308"/>
      <c r="V3" s="306" t="s">
        <v>16</v>
      </c>
      <c r="W3" s="307"/>
      <c r="X3" s="306" t="s">
        <v>17</v>
      </c>
      <c r="Y3" s="308"/>
      <c r="Z3" s="306" t="s">
        <v>51</v>
      </c>
      <c r="AA3" s="307"/>
    </row>
    <row r="4" spans="1:27">
      <c r="A4" s="7"/>
      <c r="B4" s="8" t="s">
        <v>10</v>
      </c>
      <c r="C4" s="8" t="s">
        <v>11</v>
      </c>
      <c r="D4" s="8" t="s">
        <v>10</v>
      </c>
      <c r="E4" s="8" t="s">
        <v>11</v>
      </c>
      <c r="F4" s="8" t="s">
        <v>10</v>
      </c>
      <c r="G4" s="8" t="s">
        <v>11</v>
      </c>
      <c r="H4" s="8" t="s">
        <v>10</v>
      </c>
      <c r="I4" s="8" t="s">
        <v>11</v>
      </c>
      <c r="J4" s="8" t="s">
        <v>10</v>
      </c>
      <c r="K4" s="8" t="s">
        <v>11</v>
      </c>
      <c r="L4" s="8" t="s">
        <v>10</v>
      </c>
      <c r="M4" s="8" t="s">
        <v>11</v>
      </c>
      <c r="N4" s="8" t="s">
        <v>10</v>
      </c>
      <c r="O4" s="8" t="s">
        <v>11</v>
      </c>
      <c r="P4" s="8" t="s">
        <v>10</v>
      </c>
      <c r="Q4" s="8" t="s">
        <v>11</v>
      </c>
      <c r="R4" s="8" t="s">
        <v>10</v>
      </c>
      <c r="S4" s="8" t="s">
        <v>11</v>
      </c>
      <c r="T4" s="8" t="s">
        <v>10</v>
      </c>
      <c r="U4" s="8" t="s">
        <v>11</v>
      </c>
      <c r="V4" s="8" t="s">
        <v>10</v>
      </c>
      <c r="W4" s="8" t="s">
        <v>11</v>
      </c>
      <c r="X4" s="8" t="s">
        <v>10</v>
      </c>
      <c r="Y4" s="8" t="s">
        <v>11</v>
      </c>
      <c r="Z4" s="8" t="s">
        <v>10</v>
      </c>
      <c r="AA4" s="8" t="s">
        <v>11</v>
      </c>
    </row>
    <row r="5" spans="1:27">
      <c r="A5" s="2" t="s">
        <v>18</v>
      </c>
      <c r="B5" s="9">
        <v>915365.74</v>
      </c>
      <c r="C5" s="9"/>
      <c r="D5" s="9">
        <v>429911.14</v>
      </c>
      <c r="E5" s="9"/>
      <c r="F5" s="9">
        <v>1412115.64</v>
      </c>
      <c r="G5" s="9"/>
      <c r="H5" s="9">
        <v>2704524.45</v>
      </c>
      <c r="I5" s="9"/>
      <c r="J5" s="9">
        <v>1432128.08</v>
      </c>
      <c r="K5" s="9"/>
      <c r="L5" s="9">
        <v>981293.93</v>
      </c>
      <c r="M5" s="9"/>
      <c r="N5" s="9">
        <v>1148711.17</v>
      </c>
      <c r="O5" s="9"/>
      <c r="P5" s="9">
        <v>2525090.5299999998</v>
      </c>
      <c r="Q5" s="9"/>
      <c r="R5" s="9">
        <v>1586989.72</v>
      </c>
      <c r="S5" s="9"/>
      <c r="T5" s="9">
        <v>444087.27</v>
      </c>
      <c r="U5" s="9"/>
      <c r="V5" s="9">
        <v>2004832.62</v>
      </c>
      <c r="W5" s="9"/>
      <c r="X5" s="9">
        <v>624040.17000000004</v>
      </c>
      <c r="Y5" s="9"/>
      <c r="Z5" s="9">
        <f>+B5+D5+F5+H5+J5+L5+N5+P5+R5+T5+V5+X5</f>
        <v>16209090.459999999</v>
      </c>
      <c r="AA5" s="9"/>
    </row>
    <row r="6" spans="1:27">
      <c r="A6" s="3" t="s">
        <v>19</v>
      </c>
      <c r="B6" s="10"/>
      <c r="C6" s="10">
        <v>0</v>
      </c>
      <c r="D6" s="10"/>
      <c r="E6" s="10">
        <v>0</v>
      </c>
      <c r="F6" s="10"/>
      <c r="G6" s="10">
        <v>0</v>
      </c>
      <c r="H6" s="10"/>
      <c r="I6" s="10">
        <v>8132</v>
      </c>
      <c r="J6" s="10"/>
      <c r="K6" s="10">
        <v>44896</v>
      </c>
      <c r="L6" s="10"/>
      <c r="M6" s="10">
        <v>13388</v>
      </c>
      <c r="N6" s="10"/>
      <c r="O6" s="10">
        <v>1451</v>
      </c>
      <c r="P6" s="10"/>
      <c r="Q6" s="10">
        <v>0</v>
      </c>
      <c r="R6" s="10"/>
      <c r="S6" s="10">
        <v>1307</v>
      </c>
      <c r="T6" s="10"/>
      <c r="U6" s="10">
        <v>0</v>
      </c>
      <c r="V6" s="10"/>
      <c r="W6" s="10">
        <v>0</v>
      </c>
      <c r="X6" s="10"/>
      <c r="Y6" s="10">
        <v>0</v>
      </c>
      <c r="Z6" s="10"/>
      <c r="AA6" s="10">
        <f>+C6+E6+G6+I6+K6+M6+O6+Q6+S6+U6+W6+Y6</f>
        <v>69174</v>
      </c>
    </row>
    <row r="7" spans="1:27">
      <c r="A7" s="3" t="s">
        <v>20</v>
      </c>
      <c r="B7" s="10"/>
      <c r="C7" s="10">
        <v>16244.28</v>
      </c>
      <c r="D7" s="10"/>
      <c r="E7" s="10">
        <v>6666.99</v>
      </c>
      <c r="F7" s="10"/>
      <c r="G7" s="10">
        <v>7425.27</v>
      </c>
      <c r="H7" s="10"/>
      <c r="I7" s="10">
        <v>15579.45</v>
      </c>
      <c r="J7" s="10"/>
      <c r="K7" s="10">
        <v>47736.04</v>
      </c>
      <c r="L7" s="10"/>
      <c r="M7" s="10">
        <v>14223.09</v>
      </c>
      <c r="N7" s="10"/>
      <c r="O7" s="10">
        <v>22444.91</v>
      </c>
      <c r="P7" s="10"/>
      <c r="Q7" s="10">
        <v>5302.62</v>
      </c>
      <c r="R7" s="10"/>
      <c r="S7" s="10">
        <v>7079.95</v>
      </c>
      <c r="T7" s="10"/>
      <c r="U7" s="10">
        <v>7637.09</v>
      </c>
      <c r="V7" s="10"/>
      <c r="W7" s="10">
        <v>4764.17</v>
      </c>
      <c r="X7" s="10"/>
      <c r="Y7" s="10">
        <v>7209</v>
      </c>
      <c r="Z7" s="10"/>
      <c r="AA7" s="10">
        <f t="shared" ref="AA7:AA37" si="0">+C7+E7+G7+I7+K7+M7+O7+Q7+S7+U7+W7+Y7</f>
        <v>162312.86000000002</v>
      </c>
    </row>
    <row r="8" spans="1:27">
      <c r="A8" s="3" t="s">
        <v>21</v>
      </c>
      <c r="B8" s="10"/>
      <c r="C8" s="10">
        <v>0</v>
      </c>
      <c r="D8" s="10"/>
      <c r="E8" s="10">
        <v>0</v>
      </c>
      <c r="F8" s="10"/>
      <c r="G8" s="10">
        <v>0</v>
      </c>
      <c r="H8" s="10"/>
      <c r="I8" s="10">
        <v>200</v>
      </c>
      <c r="J8" s="10"/>
      <c r="K8" s="10">
        <v>1200</v>
      </c>
      <c r="L8" s="10"/>
      <c r="M8" s="10">
        <v>1200</v>
      </c>
      <c r="N8" s="10"/>
      <c r="O8" s="10">
        <v>0</v>
      </c>
      <c r="P8" s="10"/>
      <c r="Q8" s="10">
        <v>0</v>
      </c>
      <c r="R8" s="10"/>
      <c r="S8" s="10">
        <v>0</v>
      </c>
      <c r="T8" s="10"/>
      <c r="U8" s="10">
        <v>0</v>
      </c>
      <c r="V8" s="10"/>
      <c r="W8" s="10">
        <v>0</v>
      </c>
      <c r="X8" s="10"/>
      <c r="Y8" s="10">
        <v>0</v>
      </c>
      <c r="Z8" s="10"/>
      <c r="AA8" s="10">
        <f t="shared" si="0"/>
        <v>2600</v>
      </c>
    </row>
    <row r="9" spans="1:27">
      <c r="A9" s="3" t="s">
        <v>22</v>
      </c>
      <c r="B9" s="10"/>
      <c r="C9" s="10">
        <v>210</v>
      </c>
      <c r="D9" s="10"/>
      <c r="E9" s="10">
        <v>120</v>
      </c>
      <c r="F9" s="10"/>
      <c r="G9" s="10">
        <v>130</v>
      </c>
      <c r="H9" s="10"/>
      <c r="I9" s="10">
        <v>100</v>
      </c>
      <c r="J9" s="10"/>
      <c r="K9" s="10">
        <v>80</v>
      </c>
      <c r="L9" s="10"/>
      <c r="M9" s="10">
        <v>90</v>
      </c>
      <c r="N9" s="10"/>
      <c r="O9" s="10">
        <v>0</v>
      </c>
      <c r="P9" s="10"/>
      <c r="Q9" s="10">
        <v>0</v>
      </c>
      <c r="R9" s="10"/>
      <c r="S9" s="10">
        <v>0</v>
      </c>
      <c r="T9" s="10"/>
      <c r="U9" s="10">
        <v>0</v>
      </c>
      <c r="V9" s="10"/>
      <c r="W9" s="10">
        <v>0</v>
      </c>
      <c r="X9" s="10"/>
      <c r="Y9" s="10">
        <v>0</v>
      </c>
      <c r="Z9" s="10"/>
      <c r="AA9" s="10">
        <f t="shared" si="0"/>
        <v>730</v>
      </c>
    </row>
    <row r="10" spans="1:27">
      <c r="A10" s="3" t="s">
        <v>23</v>
      </c>
      <c r="B10" s="10"/>
      <c r="C10" s="10">
        <v>40671.769999999997</v>
      </c>
      <c r="D10" s="10"/>
      <c r="E10" s="10">
        <v>0</v>
      </c>
      <c r="F10" s="10"/>
      <c r="G10" s="10">
        <v>134192.29</v>
      </c>
      <c r="H10" s="10"/>
      <c r="I10" s="10">
        <v>0</v>
      </c>
      <c r="J10" s="10"/>
      <c r="K10" s="10">
        <v>37486.639999999999</v>
      </c>
      <c r="L10" s="10"/>
      <c r="M10" s="10">
        <v>0</v>
      </c>
      <c r="N10" s="10"/>
      <c r="O10" s="10">
        <v>0</v>
      </c>
      <c r="P10" s="10"/>
      <c r="Q10" s="10">
        <v>64900</v>
      </c>
      <c r="R10" s="10"/>
      <c r="S10" s="10">
        <v>0</v>
      </c>
      <c r="T10" s="10"/>
      <c r="U10" s="10">
        <v>0</v>
      </c>
      <c r="V10" s="10"/>
      <c r="W10" s="10">
        <v>71566.66</v>
      </c>
      <c r="X10" s="10"/>
      <c r="Y10" s="10">
        <v>4765.55</v>
      </c>
      <c r="Z10" s="10"/>
      <c r="AA10" s="10">
        <f t="shared" si="0"/>
        <v>353582.91</v>
      </c>
    </row>
    <row r="11" spans="1:27">
      <c r="A11" s="3" t="s">
        <v>24</v>
      </c>
      <c r="B11" s="10"/>
      <c r="C11" s="10">
        <v>378</v>
      </c>
      <c r="D11" s="10"/>
      <c r="E11" s="10">
        <v>216</v>
      </c>
      <c r="F11" s="10"/>
      <c r="G11" s="10">
        <v>234</v>
      </c>
      <c r="H11" s="10"/>
      <c r="I11" s="10">
        <v>180</v>
      </c>
      <c r="J11" s="10"/>
      <c r="K11" s="10">
        <v>144</v>
      </c>
      <c r="L11" s="10"/>
      <c r="M11" s="10">
        <v>162</v>
      </c>
      <c r="N11" s="10"/>
      <c r="O11" s="10">
        <v>0</v>
      </c>
      <c r="P11" s="10"/>
      <c r="Q11" s="10">
        <v>0</v>
      </c>
      <c r="R11" s="10"/>
      <c r="S11" s="10">
        <v>0</v>
      </c>
      <c r="T11" s="10"/>
      <c r="U11" s="10">
        <v>0</v>
      </c>
      <c r="V11" s="10"/>
      <c r="W11" s="10">
        <v>0</v>
      </c>
      <c r="X11" s="10"/>
      <c r="Y11" s="10">
        <v>0</v>
      </c>
      <c r="Z11" s="10"/>
      <c r="AA11" s="10">
        <f t="shared" si="0"/>
        <v>1314</v>
      </c>
    </row>
    <row r="12" spans="1:27">
      <c r="A12" s="3" t="s">
        <v>25</v>
      </c>
      <c r="B12" s="10"/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0</v>
      </c>
      <c r="R12" s="10"/>
      <c r="S12" s="10">
        <v>0</v>
      </c>
      <c r="T12" s="10"/>
      <c r="U12" s="10">
        <v>840.99</v>
      </c>
      <c r="V12" s="10"/>
      <c r="W12" s="10">
        <v>0</v>
      </c>
      <c r="X12" s="10"/>
      <c r="Y12" s="10">
        <v>0</v>
      </c>
      <c r="Z12" s="10"/>
      <c r="AA12" s="10">
        <f t="shared" si="0"/>
        <v>840.99</v>
      </c>
    </row>
    <row r="13" spans="1:27">
      <c r="A13" s="3" t="s">
        <v>26</v>
      </c>
      <c r="B13" s="10"/>
      <c r="C13" s="10">
        <v>0</v>
      </c>
      <c r="D13" s="10"/>
      <c r="E13" s="10">
        <v>217.8</v>
      </c>
      <c r="F13" s="10"/>
      <c r="G13" s="10">
        <v>0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0</v>
      </c>
      <c r="R13" s="10"/>
      <c r="S13" s="10">
        <v>0</v>
      </c>
      <c r="T13" s="10"/>
      <c r="U13" s="10">
        <v>0</v>
      </c>
      <c r="V13" s="10"/>
      <c r="W13" s="10">
        <v>0</v>
      </c>
      <c r="X13" s="10"/>
      <c r="Y13" s="10">
        <v>0</v>
      </c>
      <c r="Z13" s="10"/>
      <c r="AA13" s="10">
        <f t="shared" si="0"/>
        <v>217.8</v>
      </c>
    </row>
    <row r="14" spans="1:27">
      <c r="A14" s="3" t="s">
        <v>27</v>
      </c>
      <c r="B14" s="10"/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0</v>
      </c>
      <c r="R14" s="10"/>
      <c r="S14" s="10">
        <v>0</v>
      </c>
      <c r="T14" s="10"/>
      <c r="U14" s="10">
        <v>0</v>
      </c>
      <c r="V14" s="10"/>
      <c r="W14" s="10">
        <v>0</v>
      </c>
      <c r="X14" s="10"/>
      <c r="Y14" s="10">
        <v>0</v>
      </c>
      <c r="Z14" s="10"/>
      <c r="AA14" s="10">
        <f t="shared" si="0"/>
        <v>0</v>
      </c>
    </row>
    <row r="15" spans="1:27">
      <c r="A15" s="3" t="s">
        <v>28</v>
      </c>
      <c r="B15" s="10"/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0</v>
      </c>
      <c r="R15" s="10"/>
      <c r="S15" s="10">
        <v>0</v>
      </c>
      <c r="T15" s="10"/>
      <c r="U15" s="10">
        <v>0</v>
      </c>
      <c r="V15" s="10"/>
      <c r="W15" s="10">
        <v>0</v>
      </c>
      <c r="X15" s="10"/>
      <c r="Y15" s="10">
        <v>0</v>
      </c>
      <c r="Z15" s="10"/>
      <c r="AA15" s="10">
        <f t="shared" si="0"/>
        <v>0</v>
      </c>
    </row>
    <row r="16" spans="1:27">
      <c r="A16" s="3" t="s">
        <v>29</v>
      </c>
      <c r="B16" s="10"/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0</v>
      </c>
      <c r="R16" s="10"/>
      <c r="S16" s="10">
        <v>0</v>
      </c>
      <c r="T16" s="10"/>
      <c r="U16" s="10">
        <v>0</v>
      </c>
      <c r="V16" s="10"/>
      <c r="W16" s="10">
        <v>0</v>
      </c>
      <c r="X16" s="10"/>
      <c r="Y16" s="10">
        <v>0</v>
      </c>
      <c r="Z16" s="10"/>
      <c r="AA16" s="10">
        <f t="shared" si="0"/>
        <v>0</v>
      </c>
    </row>
    <row r="17" spans="1:27">
      <c r="A17" s="3" t="s">
        <v>30</v>
      </c>
      <c r="B17" s="10"/>
      <c r="C17" s="10">
        <v>0</v>
      </c>
      <c r="D17" s="10"/>
      <c r="E17" s="10">
        <v>0</v>
      </c>
      <c r="F17" s="10"/>
      <c r="G17" s="10">
        <v>103181.84</v>
      </c>
      <c r="H17" s="10"/>
      <c r="I17" s="10">
        <v>0</v>
      </c>
      <c r="J17" s="10"/>
      <c r="K17" s="10">
        <v>0</v>
      </c>
      <c r="L17" s="10"/>
      <c r="M17" s="10">
        <v>20540.8</v>
      </c>
      <c r="N17" s="10"/>
      <c r="O17" s="10">
        <v>0</v>
      </c>
      <c r="P17" s="10"/>
      <c r="Q17" s="10">
        <v>0</v>
      </c>
      <c r="R17" s="10"/>
      <c r="S17" s="10">
        <v>18890.63</v>
      </c>
      <c r="T17" s="10"/>
      <c r="U17" s="10">
        <v>0</v>
      </c>
      <c r="V17" s="10"/>
      <c r="W17" s="10">
        <v>0</v>
      </c>
      <c r="X17" s="10"/>
      <c r="Y17" s="10">
        <v>12429.71</v>
      </c>
      <c r="Z17" s="10"/>
      <c r="AA17" s="10">
        <f t="shared" si="0"/>
        <v>155042.97999999998</v>
      </c>
    </row>
    <row r="18" spans="1:27">
      <c r="A18" s="3" t="s">
        <v>31</v>
      </c>
      <c r="B18" s="10"/>
      <c r="C18" s="10">
        <v>3958</v>
      </c>
      <c r="D18" s="10"/>
      <c r="E18" s="10">
        <v>0</v>
      </c>
      <c r="F18" s="10"/>
      <c r="G18" s="10">
        <v>3174</v>
      </c>
      <c r="H18" s="10"/>
      <c r="I18" s="10">
        <v>4639</v>
      </c>
      <c r="J18" s="10"/>
      <c r="K18" s="10">
        <v>4609</v>
      </c>
      <c r="L18" s="10"/>
      <c r="M18" s="10">
        <v>4902</v>
      </c>
      <c r="N18" s="10"/>
      <c r="O18" s="10">
        <v>7636</v>
      </c>
      <c r="P18" s="10"/>
      <c r="Q18" s="10">
        <v>5426</v>
      </c>
      <c r="R18" s="10"/>
      <c r="S18" s="10">
        <v>8400</v>
      </c>
      <c r="T18" s="10"/>
      <c r="U18" s="10">
        <v>76</v>
      </c>
      <c r="V18" s="10"/>
      <c r="W18" s="10">
        <v>6051</v>
      </c>
      <c r="X18" s="10"/>
      <c r="Y18" s="10">
        <v>0</v>
      </c>
      <c r="Z18" s="10"/>
      <c r="AA18" s="10">
        <f t="shared" si="0"/>
        <v>48871</v>
      </c>
    </row>
    <row r="19" spans="1:27">
      <c r="A19" s="3" t="s">
        <v>32</v>
      </c>
      <c r="B19" s="10"/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1000</v>
      </c>
      <c r="L19" s="10"/>
      <c r="M19" s="10">
        <v>92500</v>
      </c>
      <c r="N19" s="10"/>
      <c r="O19" s="10">
        <v>0</v>
      </c>
      <c r="P19" s="10"/>
      <c r="Q19" s="10">
        <v>3000</v>
      </c>
      <c r="R19" s="10"/>
      <c r="S19" s="10">
        <v>143500</v>
      </c>
      <c r="T19" s="10"/>
      <c r="U19" s="10">
        <v>3000</v>
      </c>
      <c r="V19" s="10"/>
      <c r="W19" s="10">
        <v>0</v>
      </c>
      <c r="X19" s="10"/>
      <c r="Y19" s="10">
        <v>0</v>
      </c>
      <c r="Z19" s="10"/>
      <c r="AA19" s="10">
        <f t="shared" si="0"/>
        <v>243000</v>
      </c>
    </row>
    <row r="20" spans="1:27">
      <c r="A20" s="3" t="s">
        <v>33</v>
      </c>
      <c r="B20" s="10"/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0</v>
      </c>
      <c r="R20" s="10"/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Z20" s="10"/>
      <c r="AA20" s="10">
        <f t="shared" si="0"/>
        <v>0</v>
      </c>
    </row>
    <row r="21" spans="1:27">
      <c r="A21" s="3" t="s">
        <v>34</v>
      </c>
      <c r="B21" s="10"/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0</v>
      </c>
      <c r="R21" s="10"/>
      <c r="S21" s="10">
        <v>10</v>
      </c>
      <c r="T21" s="10"/>
      <c r="U21" s="10">
        <v>0</v>
      </c>
      <c r="V21" s="10"/>
      <c r="W21" s="10">
        <v>10</v>
      </c>
      <c r="X21" s="10"/>
      <c r="Y21" s="10">
        <v>20</v>
      </c>
      <c r="Z21" s="10"/>
      <c r="AA21" s="10">
        <f t="shared" si="0"/>
        <v>40</v>
      </c>
    </row>
    <row r="22" spans="1:27">
      <c r="A22" s="3" t="s">
        <v>35</v>
      </c>
      <c r="B22" s="10"/>
      <c r="C22" s="10">
        <v>0</v>
      </c>
      <c r="D22" s="10"/>
      <c r="E22" s="10">
        <v>400</v>
      </c>
      <c r="F22" s="10"/>
      <c r="G22" s="10">
        <v>0</v>
      </c>
      <c r="H22" s="10"/>
      <c r="I22" s="10">
        <v>0</v>
      </c>
      <c r="J22" s="10"/>
      <c r="K22" s="10">
        <v>0</v>
      </c>
      <c r="L22" s="10"/>
      <c r="M22" s="10">
        <v>5900</v>
      </c>
      <c r="N22" s="10"/>
      <c r="O22" s="10">
        <v>100</v>
      </c>
      <c r="P22" s="10"/>
      <c r="Q22" s="10">
        <v>220</v>
      </c>
      <c r="R22" s="10"/>
      <c r="S22" s="10">
        <v>40</v>
      </c>
      <c r="T22" s="10"/>
      <c r="U22" s="10">
        <v>0</v>
      </c>
      <c r="V22" s="10"/>
      <c r="W22" s="10">
        <v>23500</v>
      </c>
      <c r="X22" s="10"/>
      <c r="Y22" s="10">
        <v>20</v>
      </c>
      <c r="Z22" s="10"/>
      <c r="AA22" s="10">
        <f t="shared" si="0"/>
        <v>30180</v>
      </c>
    </row>
    <row r="23" spans="1:27">
      <c r="A23" s="3" t="s">
        <v>36</v>
      </c>
      <c r="B23" s="10"/>
      <c r="C23" s="10">
        <v>820034.44</v>
      </c>
      <c r="D23" s="10"/>
      <c r="E23" s="10">
        <v>0</v>
      </c>
      <c r="F23" s="10"/>
      <c r="G23" s="10">
        <v>753659.12</v>
      </c>
      <c r="H23" s="10"/>
      <c r="I23" s="10">
        <v>0</v>
      </c>
      <c r="J23" s="10"/>
      <c r="K23" s="10">
        <v>0</v>
      </c>
      <c r="L23" s="10"/>
      <c r="M23" s="10">
        <v>610994.77</v>
      </c>
      <c r="N23" s="10"/>
      <c r="O23" s="10">
        <v>590458.46</v>
      </c>
      <c r="P23" s="10"/>
      <c r="Q23" s="10">
        <v>0</v>
      </c>
      <c r="R23" s="10"/>
      <c r="S23" s="10">
        <v>537507.85</v>
      </c>
      <c r="T23" s="10"/>
      <c r="U23" s="10">
        <v>83481.179999999993</v>
      </c>
      <c r="V23" s="10"/>
      <c r="W23" s="10">
        <v>654601.79</v>
      </c>
      <c r="X23" s="10"/>
      <c r="Y23" s="10">
        <v>0</v>
      </c>
      <c r="Z23" s="10"/>
      <c r="AA23" s="10">
        <f t="shared" si="0"/>
        <v>4050737.6100000003</v>
      </c>
    </row>
    <row r="24" spans="1:27">
      <c r="A24" s="3" t="s">
        <v>37</v>
      </c>
      <c r="B24" s="10"/>
      <c r="C24" s="10">
        <v>0</v>
      </c>
      <c r="D24" s="10"/>
      <c r="E24" s="10">
        <v>207772.83</v>
      </c>
      <c r="F24" s="10"/>
      <c r="G24" s="10">
        <v>72332.429999999993</v>
      </c>
      <c r="H24" s="10"/>
      <c r="I24" s="10">
        <v>0</v>
      </c>
      <c r="J24" s="10"/>
      <c r="K24" s="10">
        <v>87290.81</v>
      </c>
      <c r="L24" s="10"/>
      <c r="M24" s="10">
        <v>121828.5</v>
      </c>
      <c r="N24" s="10"/>
      <c r="O24" s="10">
        <v>70272.58</v>
      </c>
      <c r="P24" s="10"/>
      <c r="Q24" s="10">
        <v>181353.38</v>
      </c>
      <c r="R24" s="10"/>
      <c r="S24" s="10">
        <v>95828.51</v>
      </c>
      <c r="T24" s="10"/>
      <c r="U24" s="10">
        <v>0</v>
      </c>
      <c r="V24" s="10"/>
      <c r="W24" s="10">
        <v>113160.49</v>
      </c>
      <c r="X24" s="10"/>
      <c r="Y24" s="10">
        <v>110393.94</v>
      </c>
      <c r="Z24" s="10"/>
      <c r="AA24" s="10">
        <f t="shared" si="0"/>
        <v>1060233.47</v>
      </c>
    </row>
    <row r="25" spans="1:27">
      <c r="A25" s="3" t="s">
        <v>38</v>
      </c>
      <c r="B25" s="10"/>
      <c r="C25" s="10">
        <v>33869.25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0</v>
      </c>
      <c r="R25" s="10"/>
      <c r="S25" s="10">
        <v>0</v>
      </c>
      <c r="T25" s="10"/>
      <c r="U25" s="10">
        <v>0</v>
      </c>
      <c r="V25" s="10"/>
      <c r="W25" s="10">
        <v>106972.64</v>
      </c>
      <c r="X25" s="10"/>
      <c r="Y25" s="10">
        <v>22571.64</v>
      </c>
      <c r="Z25" s="10"/>
      <c r="AA25" s="10">
        <f t="shared" si="0"/>
        <v>163413.53000000003</v>
      </c>
    </row>
    <row r="26" spans="1:27">
      <c r="A26" s="3" t="s">
        <v>39</v>
      </c>
      <c r="B26" s="10"/>
      <c r="C26" s="10">
        <v>0</v>
      </c>
      <c r="D26" s="10"/>
      <c r="E26" s="10">
        <v>77887.16</v>
      </c>
      <c r="F26" s="10"/>
      <c r="G26" s="10">
        <v>33382.46</v>
      </c>
      <c r="H26" s="10"/>
      <c r="I26" s="10">
        <v>0</v>
      </c>
      <c r="J26" s="10"/>
      <c r="K26" s="10">
        <v>47508.36</v>
      </c>
      <c r="L26" s="10"/>
      <c r="M26" s="10">
        <v>42893.51</v>
      </c>
      <c r="N26" s="10"/>
      <c r="O26" s="10">
        <v>34826.33</v>
      </c>
      <c r="P26" s="10"/>
      <c r="Q26" s="10">
        <v>124089.18</v>
      </c>
      <c r="R26" s="10"/>
      <c r="S26" s="10">
        <v>39985.269999999997</v>
      </c>
      <c r="T26" s="10"/>
      <c r="U26" s="10">
        <v>36646.699999999997</v>
      </c>
      <c r="V26" s="10"/>
      <c r="W26" s="10">
        <v>36645.519999999997</v>
      </c>
      <c r="X26" s="10"/>
      <c r="Y26" s="10">
        <v>33988</v>
      </c>
      <c r="Z26" s="10"/>
      <c r="AA26" s="10">
        <f t="shared" si="0"/>
        <v>507852.49000000005</v>
      </c>
    </row>
    <row r="27" spans="1:27">
      <c r="A27" s="3" t="s">
        <v>40</v>
      </c>
      <c r="B27" s="10"/>
      <c r="C27" s="10">
        <v>0</v>
      </c>
      <c r="D27" s="10"/>
      <c r="E27" s="10">
        <v>127270.73</v>
      </c>
      <c r="F27" s="10"/>
      <c r="G27" s="10">
        <v>59613.39</v>
      </c>
      <c r="H27" s="10"/>
      <c r="I27" s="10">
        <v>0</v>
      </c>
      <c r="J27" s="10"/>
      <c r="K27" s="10">
        <v>51214.879999999997</v>
      </c>
      <c r="L27" s="10"/>
      <c r="M27" s="10">
        <v>52671.26</v>
      </c>
      <c r="N27" s="10"/>
      <c r="O27" s="10">
        <v>87251.94</v>
      </c>
      <c r="P27" s="10"/>
      <c r="Q27" s="10">
        <v>180093.39</v>
      </c>
      <c r="R27" s="10"/>
      <c r="S27" s="10">
        <v>96312.51</v>
      </c>
      <c r="T27" s="10"/>
      <c r="U27" s="10">
        <v>108576.54</v>
      </c>
      <c r="V27" s="10"/>
      <c r="W27" s="10">
        <v>127430.99</v>
      </c>
      <c r="X27" s="10"/>
      <c r="Y27" s="10">
        <v>105510.66</v>
      </c>
      <c r="Z27" s="10"/>
      <c r="AA27" s="10">
        <f t="shared" si="0"/>
        <v>995946.29000000015</v>
      </c>
    </row>
    <row r="28" spans="1:27">
      <c r="A28" s="3" t="s">
        <v>41</v>
      </c>
      <c r="B28" s="10"/>
      <c r="C28" s="10">
        <v>0</v>
      </c>
      <c r="D28" s="10"/>
      <c r="E28" s="10">
        <v>0</v>
      </c>
      <c r="F28" s="10"/>
      <c r="G28" s="10">
        <v>3527.84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1269.95</v>
      </c>
      <c r="P28" s="10"/>
      <c r="Q28" s="10">
        <v>0</v>
      </c>
      <c r="R28" s="10"/>
      <c r="S28" s="10">
        <v>0</v>
      </c>
      <c r="T28" s="10"/>
      <c r="U28" s="10">
        <v>2417.77</v>
      </c>
      <c r="V28" s="10"/>
      <c r="W28" s="10">
        <v>0</v>
      </c>
      <c r="X28" s="10"/>
      <c r="Y28" s="10">
        <v>56877.67</v>
      </c>
      <c r="Z28" s="10"/>
      <c r="AA28" s="10">
        <f t="shared" si="0"/>
        <v>64093.229999999996</v>
      </c>
    </row>
    <row r="29" spans="1:27">
      <c r="A29" s="3" t="s">
        <v>42</v>
      </c>
      <c r="B29" s="10"/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10017.84</v>
      </c>
      <c r="L29" s="10"/>
      <c r="M29" s="10">
        <v>0</v>
      </c>
      <c r="N29" s="10"/>
      <c r="O29" s="10">
        <v>0</v>
      </c>
      <c r="P29" s="10"/>
      <c r="Q29" s="10">
        <v>0</v>
      </c>
      <c r="R29" s="10"/>
      <c r="S29" s="10">
        <v>0</v>
      </c>
      <c r="T29" s="10"/>
      <c r="U29" s="10">
        <v>0</v>
      </c>
      <c r="V29" s="10"/>
      <c r="W29" s="10">
        <v>4509.3599999999997</v>
      </c>
      <c r="X29" s="10"/>
      <c r="Y29" s="10">
        <v>0</v>
      </c>
      <c r="Z29" s="10"/>
      <c r="AA29" s="10">
        <f t="shared" si="0"/>
        <v>14527.2</v>
      </c>
    </row>
    <row r="30" spans="1:27">
      <c r="A30" s="3" t="s">
        <v>43</v>
      </c>
      <c r="B30" s="10"/>
      <c r="C30" s="10">
        <v>0</v>
      </c>
      <c r="D30" s="10"/>
      <c r="E30" s="10">
        <v>9359.6299999999992</v>
      </c>
      <c r="F30" s="10"/>
      <c r="G30" s="10">
        <v>241263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9849.9599999999991</v>
      </c>
      <c r="R30" s="10"/>
      <c r="S30" s="10">
        <v>164554</v>
      </c>
      <c r="T30" s="10"/>
      <c r="U30" s="10">
        <v>0</v>
      </c>
      <c r="V30" s="10"/>
      <c r="W30" s="10">
        <v>326200</v>
      </c>
      <c r="X30" s="10"/>
      <c r="Y30" s="10">
        <v>270254</v>
      </c>
      <c r="Z30" s="10"/>
      <c r="AA30" s="10">
        <f t="shared" si="0"/>
        <v>1021480.59</v>
      </c>
    </row>
    <row r="31" spans="1:27">
      <c r="A31" s="3" t="s">
        <v>44</v>
      </c>
      <c r="B31" s="10"/>
      <c r="C31" s="10">
        <v>0</v>
      </c>
      <c r="D31" s="10"/>
      <c r="E31" s="10">
        <v>0</v>
      </c>
      <c r="F31" s="10"/>
      <c r="G31" s="10">
        <v>0</v>
      </c>
      <c r="H31" s="10"/>
      <c r="I31" s="10">
        <v>2675694</v>
      </c>
      <c r="J31" s="10"/>
      <c r="K31" s="10">
        <v>1098944.51</v>
      </c>
      <c r="L31" s="10"/>
      <c r="M31" s="10">
        <v>0</v>
      </c>
      <c r="N31" s="10"/>
      <c r="O31" s="10">
        <v>0</v>
      </c>
      <c r="P31" s="10"/>
      <c r="Q31" s="10">
        <v>1850856</v>
      </c>
      <c r="R31" s="10"/>
      <c r="S31" s="10">
        <v>422884</v>
      </c>
      <c r="T31" s="10"/>
      <c r="U31" s="10">
        <v>63111</v>
      </c>
      <c r="V31" s="10"/>
      <c r="W31" s="10">
        <v>0</v>
      </c>
      <c r="X31" s="10"/>
      <c r="Y31" s="10">
        <v>0</v>
      </c>
      <c r="Z31" s="10"/>
      <c r="AA31" s="10">
        <f t="shared" si="0"/>
        <v>6111489.5099999998</v>
      </c>
    </row>
    <row r="32" spans="1:27">
      <c r="A32" s="3" t="s">
        <v>45</v>
      </c>
      <c r="B32" s="10"/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333000</v>
      </c>
      <c r="P32" s="10"/>
      <c r="Q32" s="10">
        <v>0</v>
      </c>
      <c r="R32" s="10"/>
      <c r="S32" s="10">
        <v>0</v>
      </c>
      <c r="T32" s="10"/>
      <c r="U32" s="10">
        <v>111000</v>
      </c>
      <c r="V32" s="10"/>
      <c r="W32" s="10">
        <v>222000</v>
      </c>
      <c r="X32" s="10"/>
      <c r="Y32" s="10">
        <v>0</v>
      </c>
      <c r="Z32" s="10"/>
      <c r="AA32" s="10">
        <f t="shared" si="0"/>
        <v>666000</v>
      </c>
    </row>
    <row r="33" spans="1:27">
      <c r="A33" s="3" t="s">
        <v>46</v>
      </c>
      <c r="B33" s="10"/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0</v>
      </c>
      <c r="R33" s="10"/>
      <c r="S33" s="10">
        <v>0</v>
      </c>
      <c r="T33" s="10"/>
      <c r="U33" s="10">
        <v>27300</v>
      </c>
      <c r="V33" s="10"/>
      <c r="W33" s="10">
        <v>16380</v>
      </c>
      <c r="X33" s="10"/>
      <c r="Y33" s="10">
        <v>0</v>
      </c>
      <c r="Z33" s="10"/>
      <c r="AA33" s="10">
        <f t="shared" si="0"/>
        <v>43680</v>
      </c>
    </row>
    <row r="34" spans="1:27">
      <c r="A34" s="3" t="s">
        <v>47</v>
      </c>
      <c r="B34" s="10"/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0</v>
      </c>
      <c r="R34" s="10"/>
      <c r="S34" s="10">
        <v>0</v>
      </c>
      <c r="T34" s="10"/>
      <c r="U34" s="10">
        <v>0</v>
      </c>
      <c r="V34" s="10"/>
      <c r="W34" s="10">
        <v>291040</v>
      </c>
      <c r="X34" s="10"/>
      <c r="Y34" s="10">
        <v>0</v>
      </c>
      <c r="Z34" s="10"/>
      <c r="AA34" s="10">
        <f t="shared" si="0"/>
        <v>291040</v>
      </c>
    </row>
    <row r="35" spans="1:27">
      <c r="A35" s="4" t="s">
        <v>48</v>
      </c>
      <c r="B35" s="10"/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0</v>
      </c>
      <c r="R35" s="10"/>
      <c r="S35" s="10">
        <v>23000</v>
      </c>
      <c r="T35" s="10"/>
      <c r="U35" s="10">
        <v>0</v>
      </c>
      <c r="V35" s="10"/>
      <c r="W35" s="10">
        <v>0</v>
      </c>
      <c r="X35" s="10"/>
      <c r="Y35" s="10">
        <v>0</v>
      </c>
      <c r="Z35" s="10"/>
      <c r="AA35" s="10">
        <f t="shared" si="0"/>
        <v>23000</v>
      </c>
    </row>
    <row r="36" spans="1:27">
      <c r="A36" s="3" t="s">
        <v>49</v>
      </c>
      <c r="B36" s="10"/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0</v>
      </c>
      <c r="R36" s="10"/>
      <c r="S36" s="10">
        <v>27690</v>
      </c>
      <c r="T36" s="10"/>
      <c r="U36" s="10">
        <v>0</v>
      </c>
      <c r="V36" s="10"/>
      <c r="W36" s="10">
        <v>0</v>
      </c>
      <c r="X36" s="10"/>
      <c r="Y36" s="10">
        <v>0</v>
      </c>
      <c r="Z36" s="10"/>
      <c r="AA36" s="10">
        <f t="shared" si="0"/>
        <v>27690</v>
      </c>
    </row>
    <row r="37" spans="1:27">
      <c r="A37" s="3" t="s">
        <v>50</v>
      </c>
      <c r="B37" s="10"/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100000</v>
      </c>
      <c r="R37" s="10"/>
      <c r="S37" s="10">
        <v>0</v>
      </c>
      <c r="T37" s="10"/>
      <c r="U37" s="10">
        <v>0</v>
      </c>
      <c r="V37" s="10"/>
      <c r="W37" s="10">
        <v>0</v>
      </c>
      <c r="X37" s="10"/>
      <c r="Y37" s="10">
        <v>0</v>
      </c>
      <c r="Z37" s="10"/>
      <c r="AA37" s="10">
        <f t="shared" si="0"/>
        <v>100000</v>
      </c>
    </row>
    <row r="38" spans="1:27">
      <c r="A38" s="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>
      <c r="A39" s="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>
      <c r="A40" s="5"/>
      <c r="B40" s="11">
        <f>+B5</f>
        <v>915365.74</v>
      </c>
      <c r="C40" s="11">
        <f>SUM(C6:C39)</f>
        <v>915365.74</v>
      </c>
      <c r="D40" s="11">
        <f>+D5</f>
        <v>429911.14</v>
      </c>
      <c r="E40" s="11">
        <f>SUM(E6:E39)</f>
        <v>429911.14</v>
      </c>
      <c r="F40" s="11">
        <f>+F5</f>
        <v>1412115.64</v>
      </c>
      <c r="G40" s="11">
        <f>+G6+G7+G8+G9+G10+G11+G12+G13+G14+G15+G16+G17+G18+G19+G20+G21+G22+G23+G24+G25+G26+G27+G28+G29+G30+G31+G32+G33+G34+G35+G36+G37</f>
        <v>1412115.64</v>
      </c>
      <c r="H40" s="11">
        <f>+H5</f>
        <v>2704524.45</v>
      </c>
      <c r="I40" s="11">
        <f>SUM(I6:I39)</f>
        <v>2704524.45</v>
      </c>
      <c r="J40" s="11">
        <f>+J5</f>
        <v>1432128.08</v>
      </c>
      <c r="K40" s="11">
        <f>SUM(K6:K39)</f>
        <v>1432128.08</v>
      </c>
      <c r="L40" s="11">
        <f>+L5</f>
        <v>981293.93</v>
      </c>
      <c r="M40" s="11">
        <f>SUM(M6:M39)</f>
        <v>981293.93</v>
      </c>
      <c r="N40" s="11">
        <f>+N5</f>
        <v>1148711.17</v>
      </c>
      <c r="O40" s="11">
        <f>SUM(O6:O39)</f>
        <v>1148711.17</v>
      </c>
      <c r="P40" s="11">
        <f>+P5</f>
        <v>2525090.5299999998</v>
      </c>
      <c r="Q40" s="11">
        <f>SUM(Q6:Q39)</f>
        <v>2525090.5300000003</v>
      </c>
      <c r="R40" s="11">
        <f>+R5</f>
        <v>1586989.72</v>
      </c>
      <c r="S40" s="11">
        <f>SUM(S6:S39)</f>
        <v>1586989.72</v>
      </c>
      <c r="T40" s="11">
        <f>+T5</f>
        <v>444087.27</v>
      </c>
      <c r="U40" s="11">
        <f>SUM(U6:U39)</f>
        <v>444087.27</v>
      </c>
      <c r="V40" s="11">
        <f>+V5</f>
        <v>2004832.62</v>
      </c>
      <c r="W40" s="11">
        <f>SUM(W6:W39)</f>
        <v>2004832.62</v>
      </c>
      <c r="X40" s="11">
        <f>+X5</f>
        <v>624040.17000000004</v>
      </c>
      <c r="Y40" s="11">
        <f>SUM(Y6:Y39)</f>
        <v>624040.16999999993</v>
      </c>
      <c r="Z40" s="11">
        <f>+Z5</f>
        <v>16209090.459999999</v>
      </c>
      <c r="AA40" s="11">
        <f>SUM(AA6:AA39)</f>
        <v>16209090.460000001</v>
      </c>
    </row>
  </sheetData>
  <mergeCells count="13">
    <mergeCell ref="L3:M3"/>
    <mergeCell ref="B3:C3"/>
    <mergeCell ref="D3:E3"/>
    <mergeCell ref="F3:G3"/>
    <mergeCell ref="H3:I3"/>
    <mergeCell ref="J3:K3"/>
    <mergeCell ref="Z3:AA3"/>
    <mergeCell ref="N3:O3"/>
    <mergeCell ref="P3:Q3"/>
    <mergeCell ref="R3:S3"/>
    <mergeCell ref="T3:U3"/>
    <mergeCell ref="V3:W3"/>
    <mergeCell ref="X3:Y3"/>
  </mergeCells>
  <pageMargins left="0.25" right="0.25" top="0" bottom="0" header="0.3" footer="0.3"/>
  <pageSetup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87"/>
  <sheetViews>
    <sheetView workbookViewId="0">
      <selection activeCell="E11" sqref="E11"/>
    </sheetView>
  </sheetViews>
  <sheetFormatPr defaultRowHeight="22.5"/>
  <cols>
    <col min="1" max="1" width="11.25" style="1" customWidth="1"/>
    <col min="2" max="2" width="55.375" style="1" customWidth="1"/>
    <col min="3" max="3" width="17.875" style="1" customWidth="1"/>
    <col min="4" max="16384" width="9" style="1"/>
  </cols>
  <sheetData>
    <row r="1" spans="1:3" ht="23.25">
      <c r="A1" s="326" t="s">
        <v>339</v>
      </c>
      <c r="B1" s="326"/>
      <c r="C1" s="326"/>
    </row>
    <row r="2" spans="1:3" ht="23.25">
      <c r="A2" s="326" t="s">
        <v>249</v>
      </c>
      <c r="B2" s="326"/>
      <c r="C2" s="326"/>
    </row>
    <row r="4" spans="1:3">
      <c r="A4" s="106" t="s">
        <v>255</v>
      </c>
      <c r="B4" s="8" t="s">
        <v>2</v>
      </c>
      <c r="C4" s="107" t="s">
        <v>256</v>
      </c>
    </row>
    <row r="5" spans="1:3">
      <c r="A5" s="195">
        <v>1</v>
      </c>
      <c r="B5" s="188" t="s">
        <v>250</v>
      </c>
      <c r="C5" s="196">
        <v>19000</v>
      </c>
    </row>
    <row r="6" spans="1:3">
      <c r="A6" s="197">
        <v>2</v>
      </c>
      <c r="B6" s="192" t="s">
        <v>251</v>
      </c>
      <c r="C6" s="198">
        <v>1034000</v>
      </c>
    </row>
    <row r="7" spans="1:3">
      <c r="A7" s="197">
        <v>3</v>
      </c>
      <c r="B7" s="192" t="s">
        <v>252</v>
      </c>
      <c r="C7" s="198">
        <v>171000</v>
      </c>
    </row>
    <row r="8" spans="1:3">
      <c r="A8" s="197">
        <v>4</v>
      </c>
      <c r="B8" s="192" t="s">
        <v>253</v>
      </c>
      <c r="C8" s="198">
        <v>99000</v>
      </c>
    </row>
    <row r="9" spans="1:3">
      <c r="A9" s="197">
        <v>5</v>
      </c>
      <c r="B9" s="192" t="s">
        <v>254</v>
      </c>
      <c r="C9" s="198">
        <v>99000</v>
      </c>
    </row>
    <row r="10" spans="1:3">
      <c r="A10" s="197">
        <v>6</v>
      </c>
      <c r="B10" s="192" t="s">
        <v>327</v>
      </c>
      <c r="C10" s="198">
        <v>94000</v>
      </c>
    </row>
    <row r="11" spans="1:3">
      <c r="A11" s="197">
        <v>7</v>
      </c>
      <c r="B11" s="192" t="s">
        <v>314</v>
      </c>
      <c r="C11" s="198">
        <v>78900</v>
      </c>
    </row>
    <row r="12" spans="1:3">
      <c r="A12" s="197">
        <v>8</v>
      </c>
      <c r="B12" s="192" t="s">
        <v>315</v>
      </c>
      <c r="C12" s="198">
        <v>85500</v>
      </c>
    </row>
    <row r="13" spans="1:3">
      <c r="A13" s="197">
        <v>9</v>
      </c>
      <c r="B13" s="192" t="s">
        <v>316</v>
      </c>
      <c r="C13" s="198">
        <v>17600</v>
      </c>
    </row>
    <row r="14" spans="1:3">
      <c r="A14" s="197">
        <v>10</v>
      </c>
      <c r="B14" s="192" t="s">
        <v>328</v>
      </c>
      <c r="C14" s="198">
        <v>158000</v>
      </c>
    </row>
    <row r="15" spans="1:3">
      <c r="A15" s="197">
        <v>11</v>
      </c>
      <c r="B15" s="192" t="s">
        <v>338</v>
      </c>
      <c r="C15" s="198">
        <v>176200</v>
      </c>
    </row>
    <row r="16" spans="1:3">
      <c r="A16" s="197">
        <v>12</v>
      </c>
      <c r="B16" s="192" t="s">
        <v>282</v>
      </c>
      <c r="C16" s="198">
        <v>10000</v>
      </c>
    </row>
    <row r="17" spans="1:3">
      <c r="A17" s="113"/>
      <c r="B17" s="115"/>
      <c r="C17" s="135"/>
    </row>
    <row r="18" spans="1:3" ht="23.25">
      <c r="A18" s="136"/>
      <c r="B18" s="137" t="s">
        <v>9</v>
      </c>
      <c r="C18" s="139">
        <f>SUM(C5:C17)</f>
        <v>2042200</v>
      </c>
    </row>
    <row r="19" spans="1:3">
      <c r="C19" s="112"/>
    </row>
    <row r="20" spans="1:3">
      <c r="C20" s="112"/>
    </row>
    <row r="21" spans="1:3">
      <c r="C21" s="112"/>
    </row>
    <row r="22" spans="1:3">
      <c r="C22" s="112"/>
    </row>
    <row r="23" spans="1:3">
      <c r="C23" s="112"/>
    </row>
    <row r="24" spans="1:3">
      <c r="C24" s="112"/>
    </row>
    <row r="25" spans="1:3">
      <c r="C25" s="112"/>
    </row>
    <row r="26" spans="1:3">
      <c r="C26" s="112"/>
    </row>
    <row r="27" spans="1:3">
      <c r="C27" s="112"/>
    </row>
    <row r="28" spans="1:3">
      <c r="C28" s="112"/>
    </row>
    <row r="29" spans="1:3">
      <c r="C29" s="112"/>
    </row>
    <row r="30" spans="1:3">
      <c r="C30" s="112"/>
    </row>
    <row r="31" spans="1:3">
      <c r="C31" s="112"/>
    </row>
    <row r="32" spans="1:3">
      <c r="C32" s="112"/>
    </row>
    <row r="33" spans="3:3">
      <c r="C33" s="112"/>
    </row>
    <row r="34" spans="3:3">
      <c r="C34" s="112"/>
    </row>
    <row r="35" spans="3:3">
      <c r="C35" s="112"/>
    </row>
    <row r="36" spans="3:3">
      <c r="C36" s="112"/>
    </row>
    <row r="37" spans="3:3">
      <c r="C37" s="112"/>
    </row>
    <row r="38" spans="3:3">
      <c r="C38" s="112"/>
    </row>
    <row r="39" spans="3:3">
      <c r="C39" s="112"/>
    </row>
    <row r="40" spans="3:3">
      <c r="C40" s="112"/>
    </row>
    <row r="41" spans="3:3">
      <c r="C41" s="112"/>
    </row>
    <row r="42" spans="3:3">
      <c r="C42" s="112"/>
    </row>
    <row r="43" spans="3:3">
      <c r="C43" s="112"/>
    </row>
    <row r="44" spans="3:3">
      <c r="C44" s="112"/>
    </row>
    <row r="45" spans="3:3">
      <c r="C45" s="112"/>
    </row>
    <row r="46" spans="3:3">
      <c r="C46" s="112"/>
    </row>
    <row r="47" spans="3:3">
      <c r="C47" s="112"/>
    </row>
    <row r="48" spans="3:3">
      <c r="C48" s="112"/>
    </row>
    <row r="49" spans="3:3">
      <c r="C49" s="112"/>
    </row>
    <row r="50" spans="3:3">
      <c r="C50" s="112"/>
    </row>
    <row r="51" spans="3:3">
      <c r="C51" s="112"/>
    </row>
    <row r="52" spans="3:3">
      <c r="C52" s="112"/>
    </row>
    <row r="53" spans="3:3">
      <c r="C53" s="112"/>
    </row>
    <row r="54" spans="3:3">
      <c r="C54" s="112"/>
    </row>
    <row r="55" spans="3:3">
      <c r="C55" s="112"/>
    </row>
    <row r="56" spans="3:3">
      <c r="C56" s="112"/>
    </row>
    <row r="57" spans="3:3">
      <c r="C57" s="112"/>
    </row>
    <row r="58" spans="3:3">
      <c r="C58" s="112"/>
    </row>
    <row r="59" spans="3:3">
      <c r="C59" s="112"/>
    </row>
    <row r="60" spans="3:3">
      <c r="C60" s="112"/>
    </row>
    <row r="61" spans="3:3">
      <c r="C61" s="112"/>
    </row>
    <row r="62" spans="3:3">
      <c r="C62" s="112"/>
    </row>
    <row r="63" spans="3:3">
      <c r="C63" s="112"/>
    </row>
    <row r="64" spans="3:3">
      <c r="C64" s="112"/>
    </row>
    <row r="65" spans="3:3">
      <c r="C65" s="112"/>
    </row>
    <row r="66" spans="3:3">
      <c r="C66" s="112"/>
    </row>
    <row r="67" spans="3:3">
      <c r="C67" s="112"/>
    </row>
    <row r="68" spans="3:3">
      <c r="C68" s="112"/>
    </row>
    <row r="69" spans="3:3">
      <c r="C69" s="112"/>
    </row>
    <row r="70" spans="3:3">
      <c r="C70" s="112"/>
    </row>
    <row r="71" spans="3:3">
      <c r="C71" s="112"/>
    </row>
    <row r="72" spans="3:3">
      <c r="C72" s="112"/>
    </row>
    <row r="73" spans="3:3">
      <c r="C73" s="112"/>
    </row>
    <row r="74" spans="3:3">
      <c r="C74" s="112"/>
    </row>
    <row r="75" spans="3:3">
      <c r="C75" s="112"/>
    </row>
    <row r="76" spans="3:3">
      <c r="C76" s="112"/>
    </row>
    <row r="77" spans="3:3">
      <c r="C77" s="112"/>
    </row>
    <row r="78" spans="3:3">
      <c r="C78" s="112"/>
    </row>
    <row r="79" spans="3:3">
      <c r="C79" s="112"/>
    </row>
    <row r="80" spans="3:3">
      <c r="C80" s="112"/>
    </row>
    <row r="81" spans="3:3">
      <c r="C81" s="112"/>
    </row>
    <row r="82" spans="3:3">
      <c r="C82" s="112"/>
    </row>
    <row r="83" spans="3:3">
      <c r="C83" s="112"/>
    </row>
    <row r="84" spans="3:3">
      <c r="C84" s="112"/>
    </row>
    <row r="85" spans="3:3">
      <c r="C85" s="112"/>
    </row>
    <row r="86" spans="3:3">
      <c r="C86" s="112"/>
    </row>
    <row r="87" spans="3:3">
      <c r="C87" s="112"/>
    </row>
  </sheetData>
  <mergeCells count="2">
    <mergeCell ref="A2:C2"/>
    <mergeCell ref="A1:C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D30" sqref="D30"/>
    </sheetView>
  </sheetViews>
  <sheetFormatPr defaultRowHeight="14.25"/>
  <cols>
    <col min="2" max="2" width="40.75" customWidth="1"/>
    <col min="3" max="3" width="16.875" customWidth="1"/>
    <col min="4" max="4" width="18.25" customWidth="1"/>
  </cols>
  <sheetData>
    <row r="1" spans="1:4" ht="23.25">
      <c r="A1" s="326" t="s">
        <v>339</v>
      </c>
      <c r="B1" s="326"/>
      <c r="C1" s="326"/>
      <c r="D1" s="328"/>
    </row>
    <row r="2" spans="1:4" ht="23.25">
      <c r="A2" s="326" t="s">
        <v>374</v>
      </c>
      <c r="B2" s="326"/>
      <c r="C2" s="326"/>
      <c r="D2" s="328"/>
    </row>
    <row r="3" spans="1:4" ht="22.5">
      <c r="A3" s="1"/>
      <c r="B3" s="1"/>
      <c r="C3" s="1"/>
    </row>
    <row r="4" spans="1:4" ht="22.5">
      <c r="A4" s="106" t="s">
        <v>255</v>
      </c>
      <c r="B4" s="8" t="s">
        <v>2</v>
      </c>
      <c r="C4" s="107" t="s">
        <v>256</v>
      </c>
      <c r="D4" s="154" t="s">
        <v>313</v>
      </c>
    </row>
    <row r="5" spans="1:4" ht="22.5">
      <c r="A5" s="195">
        <v>1</v>
      </c>
      <c r="B5" s="188" t="s">
        <v>257</v>
      </c>
      <c r="C5" s="196">
        <v>500000</v>
      </c>
      <c r="D5" s="199" t="s">
        <v>278</v>
      </c>
    </row>
    <row r="6" spans="1:4" ht="22.5">
      <c r="A6" s="197">
        <v>2</v>
      </c>
      <c r="B6" s="192" t="s">
        <v>258</v>
      </c>
      <c r="C6" s="198">
        <v>253000</v>
      </c>
      <c r="D6" s="200" t="s">
        <v>273</v>
      </c>
    </row>
    <row r="7" spans="1:4" ht="22.5">
      <c r="A7" s="197">
        <v>3</v>
      </c>
      <c r="B7" s="192" t="s">
        <v>261</v>
      </c>
      <c r="C7" s="198">
        <v>343500</v>
      </c>
      <c r="D7" s="200" t="s">
        <v>271</v>
      </c>
    </row>
    <row r="8" spans="1:4" ht="22.5">
      <c r="A8" s="197">
        <v>4</v>
      </c>
      <c r="B8" s="192" t="s">
        <v>262</v>
      </c>
      <c r="C8" s="198">
        <v>88130</v>
      </c>
      <c r="D8" s="200" t="s">
        <v>274</v>
      </c>
    </row>
    <row r="9" spans="1:4" ht="22.5">
      <c r="A9" s="197">
        <v>5</v>
      </c>
      <c r="B9" s="192" t="s">
        <v>259</v>
      </c>
      <c r="C9" s="198">
        <v>240000</v>
      </c>
      <c r="D9" s="200" t="s">
        <v>268</v>
      </c>
    </row>
    <row r="10" spans="1:4" ht="22.5">
      <c r="A10" s="197">
        <v>6</v>
      </c>
      <c r="B10" s="192" t="s">
        <v>260</v>
      </c>
      <c r="C10" s="198">
        <v>257800</v>
      </c>
      <c r="D10" s="200" t="s">
        <v>276</v>
      </c>
    </row>
    <row r="11" spans="1:4" ht="22.5">
      <c r="A11" s="197">
        <v>7</v>
      </c>
      <c r="B11" s="192" t="s">
        <v>263</v>
      </c>
      <c r="C11" s="198">
        <v>293886</v>
      </c>
      <c r="D11" s="200" t="s">
        <v>272</v>
      </c>
    </row>
    <row r="12" spans="1:4" ht="22.5">
      <c r="A12" s="197">
        <v>8</v>
      </c>
      <c r="B12" s="192" t="s">
        <v>264</v>
      </c>
      <c r="C12" s="198">
        <v>456000</v>
      </c>
      <c r="D12" s="200" t="s">
        <v>277</v>
      </c>
    </row>
    <row r="13" spans="1:4" ht="22.5">
      <c r="A13" s="197">
        <v>9</v>
      </c>
      <c r="B13" s="192" t="s">
        <v>265</v>
      </c>
      <c r="C13" s="198">
        <v>592162</v>
      </c>
      <c r="D13" s="200" t="s">
        <v>275</v>
      </c>
    </row>
    <row r="14" spans="1:4" ht="22.5">
      <c r="A14" s="197">
        <v>10</v>
      </c>
      <c r="B14" s="192" t="s">
        <v>267</v>
      </c>
      <c r="C14" s="198">
        <v>411500</v>
      </c>
      <c r="D14" s="200" t="s">
        <v>270</v>
      </c>
    </row>
    <row r="15" spans="1:4" ht="22.5">
      <c r="A15" s="197">
        <v>11</v>
      </c>
      <c r="B15" s="192" t="s">
        <v>266</v>
      </c>
      <c r="C15" s="198">
        <v>232000</v>
      </c>
      <c r="D15" s="200" t="s">
        <v>269</v>
      </c>
    </row>
    <row r="16" spans="1:4" ht="22.5">
      <c r="A16" s="138"/>
      <c r="B16" s="115"/>
      <c r="C16" s="135"/>
      <c r="D16" s="152"/>
    </row>
    <row r="17" spans="1:4" ht="23.25">
      <c r="A17" s="136"/>
      <c r="B17" s="137" t="s">
        <v>9</v>
      </c>
      <c r="C17" s="139">
        <f>SUM(C5:C16)</f>
        <v>3667978</v>
      </c>
      <c r="D17" s="153"/>
    </row>
  </sheetData>
  <mergeCells count="2">
    <mergeCell ref="A2:D2"/>
    <mergeCell ref="A1:D1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B7" sqref="B7"/>
    </sheetView>
  </sheetViews>
  <sheetFormatPr defaultRowHeight="14.25"/>
  <cols>
    <col min="1" max="1" width="9.5" customWidth="1"/>
    <col min="2" max="2" width="54.375" customWidth="1"/>
    <col min="3" max="3" width="20.625" customWidth="1"/>
  </cols>
  <sheetData>
    <row r="1" spans="1:3" ht="23.25">
      <c r="A1" s="326" t="s">
        <v>339</v>
      </c>
      <c r="B1" s="326"/>
      <c r="C1" s="326"/>
    </row>
    <row r="2" spans="1:3" ht="23.25">
      <c r="A2" s="326" t="s">
        <v>375</v>
      </c>
      <c r="B2" s="326"/>
      <c r="C2" s="326"/>
    </row>
    <row r="3" spans="1:3" ht="22.5">
      <c r="A3" s="1"/>
      <c r="B3" s="1"/>
      <c r="C3" s="1"/>
    </row>
    <row r="4" spans="1:3" ht="22.5">
      <c r="A4" s="106" t="s">
        <v>255</v>
      </c>
      <c r="B4" s="8" t="s">
        <v>2</v>
      </c>
      <c r="C4" s="107" t="s">
        <v>256</v>
      </c>
    </row>
    <row r="5" spans="1:3" ht="22.5">
      <c r="A5" s="195">
        <v>1</v>
      </c>
      <c r="B5" s="188" t="s">
        <v>279</v>
      </c>
      <c r="C5" s="196">
        <v>12570</v>
      </c>
    </row>
    <row r="6" spans="1:3" ht="22.5">
      <c r="A6" s="197">
        <v>2</v>
      </c>
      <c r="B6" s="192" t="s">
        <v>280</v>
      </c>
      <c r="C6" s="198">
        <v>365500</v>
      </c>
    </row>
    <row r="7" spans="1:3" ht="22.5">
      <c r="A7" s="197">
        <v>3</v>
      </c>
      <c r="B7" s="192" t="s">
        <v>250</v>
      </c>
      <c r="C7" s="198">
        <v>11640</v>
      </c>
    </row>
    <row r="8" spans="1:3" ht="22.5">
      <c r="A8" s="197">
        <v>4</v>
      </c>
      <c r="B8" s="192" t="s">
        <v>183</v>
      </c>
      <c r="C8" s="198">
        <v>33192</v>
      </c>
    </row>
    <row r="9" spans="1:3" ht="22.5">
      <c r="A9" s="197">
        <v>5</v>
      </c>
      <c r="B9" s="192" t="s">
        <v>185</v>
      </c>
      <c r="C9" s="198">
        <v>3528</v>
      </c>
    </row>
    <row r="10" spans="1:3" ht="22.5">
      <c r="A10" s="197">
        <v>6</v>
      </c>
      <c r="B10" s="192" t="s">
        <v>186</v>
      </c>
      <c r="C10" s="198">
        <v>7022</v>
      </c>
    </row>
    <row r="11" spans="1:3" ht="22.5">
      <c r="A11" s="197">
        <v>7</v>
      </c>
      <c r="B11" s="192" t="s">
        <v>187</v>
      </c>
      <c r="C11" s="198">
        <v>108</v>
      </c>
    </row>
    <row r="12" spans="1:3" ht="22.5">
      <c r="A12" s="197">
        <v>8</v>
      </c>
      <c r="B12" s="192" t="s">
        <v>189</v>
      </c>
      <c r="C12" s="198">
        <v>5550</v>
      </c>
    </row>
    <row r="13" spans="1:3" ht="22.5">
      <c r="A13" s="197">
        <v>9</v>
      </c>
      <c r="B13" s="192" t="s">
        <v>191</v>
      </c>
      <c r="C13" s="198">
        <v>3600</v>
      </c>
    </row>
    <row r="14" spans="1:3" ht="22.5">
      <c r="A14" s="197">
        <v>10</v>
      </c>
      <c r="B14" s="192" t="s">
        <v>281</v>
      </c>
      <c r="C14" s="198">
        <v>237375.03</v>
      </c>
    </row>
    <row r="15" spans="1:3" ht="22.5">
      <c r="A15" s="197">
        <v>11</v>
      </c>
      <c r="B15" s="192" t="s">
        <v>194</v>
      </c>
      <c r="C15" s="198">
        <v>176200</v>
      </c>
    </row>
    <row r="16" spans="1:3" ht="22.5">
      <c r="A16" s="197">
        <v>12</v>
      </c>
      <c r="B16" s="192" t="s">
        <v>282</v>
      </c>
      <c r="C16" s="198">
        <v>10000</v>
      </c>
    </row>
    <row r="17" spans="1:3" ht="22.5">
      <c r="A17" s="138"/>
      <c r="B17" s="115"/>
      <c r="C17" s="135"/>
    </row>
    <row r="18" spans="1:3" ht="23.25">
      <c r="A18" s="136"/>
      <c r="B18" s="137" t="s">
        <v>9</v>
      </c>
      <c r="C18" s="139">
        <f>SUM(C5:C17)</f>
        <v>866285.03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F23" sqref="F23"/>
    </sheetView>
  </sheetViews>
  <sheetFormatPr defaultRowHeight="22.5"/>
  <cols>
    <col min="1" max="1" width="9" style="1"/>
    <col min="2" max="2" width="54.25" style="1" customWidth="1"/>
    <col min="3" max="3" width="14.5" style="1" customWidth="1"/>
    <col min="4" max="16384" width="9" style="1"/>
  </cols>
  <sheetData>
    <row r="1" spans="1:3" ht="23.25">
      <c r="A1" s="326" t="s">
        <v>339</v>
      </c>
      <c r="B1" s="326"/>
      <c r="C1" s="326"/>
    </row>
    <row r="2" spans="1:3" ht="23.25">
      <c r="A2" s="326" t="s">
        <v>376</v>
      </c>
      <c r="B2" s="326"/>
      <c r="C2" s="326"/>
    </row>
    <row r="4" spans="1:3">
      <c r="A4" s="106" t="s">
        <v>255</v>
      </c>
      <c r="B4" s="106" t="s">
        <v>2</v>
      </c>
      <c r="C4" s="8" t="s">
        <v>256</v>
      </c>
    </row>
    <row r="5" spans="1:3">
      <c r="A5" s="195">
        <v>1</v>
      </c>
      <c r="B5" s="187" t="s">
        <v>299</v>
      </c>
      <c r="C5" s="190">
        <v>8333.16</v>
      </c>
    </row>
    <row r="6" spans="1:3">
      <c r="A6" s="197">
        <v>2</v>
      </c>
      <c r="B6" s="191" t="s">
        <v>301</v>
      </c>
      <c r="C6" s="194">
        <v>150000</v>
      </c>
    </row>
    <row r="7" spans="1:3">
      <c r="A7" s="197">
        <v>3</v>
      </c>
      <c r="B7" s="191" t="s">
        <v>302</v>
      </c>
      <c r="C7" s="194">
        <v>146413</v>
      </c>
    </row>
    <row r="8" spans="1:3">
      <c r="A8" s="197">
        <v>4</v>
      </c>
      <c r="B8" s="191" t="s">
        <v>303</v>
      </c>
      <c r="C8" s="194">
        <v>17020</v>
      </c>
    </row>
    <row r="9" spans="1:3">
      <c r="A9" s="197">
        <v>5</v>
      </c>
      <c r="B9" s="191" t="s">
        <v>304</v>
      </c>
      <c r="C9" s="194">
        <v>264618</v>
      </c>
    </row>
    <row r="10" spans="1:3">
      <c r="A10" s="197">
        <v>6</v>
      </c>
      <c r="B10" s="191" t="s">
        <v>305</v>
      </c>
      <c r="C10" s="194">
        <v>50000</v>
      </c>
    </row>
    <row r="11" spans="1:3">
      <c r="A11" s="138"/>
      <c r="B11" s="113"/>
      <c r="C11" s="116"/>
    </row>
    <row r="12" spans="1:3" ht="23.25">
      <c r="A12" s="146"/>
      <c r="B12" s="147" t="s">
        <v>9</v>
      </c>
      <c r="C12" s="148">
        <f>SUM(C5:C11)</f>
        <v>636384.16</v>
      </c>
    </row>
    <row r="13" spans="1:3">
      <c r="C13" s="112"/>
    </row>
    <row r="14" spans="1:3">
      <c r="C14" s="112"/>
    </row>
    <row r="15" spans="1:3" ht="23.25">
      <c r="A15" s="326" t="s">
        <v>377</v>
      </c>
      <c r="B15" s="326"/>
      <c r="C15" s="326"/>
    </row>
    <row r="16" spans="1:3" ht="23.25">
      <c r="A16" s="184"/>
      <c r="B16" s="184"/>
      <c r="C16" s="184"/>
    </row>
    <row r="18" spans="1:3">
      <c r="A18" s="106" t="s">
        <v>255</v>
      </c>
      <c r="B18" s="106" t="s">
        <v>2</v>
      </c>
      <c r="C18" s="8" t="s">
        <v>256</v>
      </c>
    </row>
    <row r="19" spans="1:3">
      <c r="A19" s="195">
        <v>1</v>
      </c>
      <c r="B19" s="187" t="s">
        <v>306</v>
      </c>
      <c r="C19" s="190">
        <v>12000</v>
      </c>
    </row>
    <row r="20" spans="1:3">
      <c r="A20" s="197">
        <v>2</v>
      </c>
      <c r="B20" s="191" t="s">
        <v>307</v>
      </c>
      <c r="C20" s="194">
        <v>148839.14000000001</v>
      </c>
    </row>
    <row r="21" spans="1:3">
      <c r="A21" s="197">
        <v>3</v>
      </c>
      <c r="B21" s="191" t="s">
        <v>308</v>
      </c>
      <c r="C21" s="194">
        <v>109500</v>
      </c>
    </row>
    <row r="22" spans="1:3">
      <c r="A22" s="197">
        <v>4</v>
      </c>
      <c r="B22" s="191" t="s">
        <v>309</v>
      </c>
      <c r="C22" s="194">
        <v>779000</v>
      </c>
    </row>
    <row r="23" spans="1:3">
      <c r="A23" s="197">
        <v>5</v>
      </c>
      <c r="B23" s="191" t="s">
        <v>310</v>
      </c>
      <c r="C23" s="194">
        <v>43546</v>
      </c>
    </row>
    <row r="24" spans="1:3">
      <c r="A24" s="197">
        <v>6</v>
      </c>
      <c r="B24" s="191" t="s">
        <v>300</v>
      </c>
      <c r="C24" s="194">
        <v>150000</v>
      </c>
    </row>
    <row r="25" spans="1:3">
      <c r="A25" s="197">
        <v>7</v>
      </c>
      <c r="B25" s="191" t="s">
        <v>310</v>
      </c>
      <c r="C25" s="194">
        <v>30019</v>
      </c>
    </row>
    <row r="26" spans="1:3">
      <c r="A26" s="138"/>
      <c r="B26" s="113"/>
      <c r="C26" s="116"/>
    </row>
    <row r="27" spans="1:3" ht="23.25">
      <c r="A27" s="146"/>
      <c r="B27" s="147" t="s">
        <v>9</v>
      </c>
      <c r="C27" s="148">
        <f>SUM(C19:C26)</f>
        <v>1272904.1400000001</v>
      </c>
    </row>
    <row r="28" spans="1:3" ht="23.25">
      <c r="A28" s="201"/>
      <c r="B28" s="202"/>
      <c r="C28" s="203"/>
    </row>
    <row r="29" spans="1:3">
      <c r="C29" s="112"/>
    </row>
    <row r="30" spans="1:3" ht="23.25">
      <c r="B30" s="150" t="s">
        <v>378</v>
      </c>
      <c r="C30" s="151">
        <f>+C27+C12</f>
        <v>1909288.3000000003</v>
      </c>
    </row>
    <row r="31" spans="1:3">
      <c r="C31" s="112"/>
    </row>
    <row r="32" spans="1:3">
      <c r="C32" s="112"/>
    </row>
    <row r="33" spans="3:3">
      <c r="C33" s="112"/>
    </row>
    <row r="34" spans="3:3">
      <c r="C34" s="112"/>
    </row>
    <row r="35" spans="3:3">
      <c r="C35" s="112"/>
    </row>
    <row r="36" spans="3:3">
      <c r="C36" s="112"/>
    </row>
    <row r="37" spans="3:3">
      <c r="C37" s="112"/>
    </row>
    <row r="38" spans="3:3">
      <c r="C38" s="112"/>
    </row>
    <row r="39" spans="3:3">
      <c r="C39" s="112"/>
    </row>
    <row r="40" spans="3:3">
      <c r="C40" s="112"/>
    </row>
    <row r="41" spans="3:3">
      <c r="C41" s="112"/>
    </row>
    <row r="42" spans="3:3">
      <c r="C42" s="112"/>
    </row>
  </sheetData>
  <mergeCells count="3">
    <mergeCell ref="A2:C2"/>
    <mergeCell ref="A15:C15"/>
    <mergeCell ref="A1:C1"/>
  </mergeCells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B12" sqref="B12"/>
    </sheetView>
  </sheetViews>
  <sheetFormatPr defaultRowHeight="14.25"/>
  <cols>
    <col min="1" max="1" width="13.625" customWidth="1"/>
    <col min="2" max="2" width="48.375" customWidth="1"/>
    <col min="3" max="3" width="19" customWidth="1"/>
  </cols>
  <sheetData>
    <row r="1" spans="1:3" ht="23.25">
      <c r="A1" s="326" t="s">
        <v>330</v>
      </c>
      <c r="B1" s="326"/>
      <c r="C1" s="326"/>
    </row>
    <row r="2" spans="1:3" ht="22.5">
      <c r="A2" s="1"/>
      <c r="B2" s="1"/>
      <c r="C2" s="1"/>
    </row>
    <row r="3" spans="1:3" ht="22.5">
      <c r="A3" s="133" t="s">
        <v>255</v>
      </c>
      <c r="B3" s="8" t="s">
        <v>2</v>
      </c>
      <c r="C3" s="134" t="s">
        <v>256</v>
      </c>
    </row>
    <row r="4" spans="1:3" ht="22.5">
      <c r="A4" s="138">
        <v>1</v>
      </c>
      <c r="B4" s="115" t="s">
        <v>331</v>
      </c>
      <c r="C4" s="135">
        <v>266500</v>
      </c>
    </row>
    <row r="5" spans="1:3" ht="22.5">
      <c r="A5" s="138">
        <v>2</v>
      </c>
      <c r="B5" s="115" t="s">
        <v>332</v>
      </c>
      <c r="C5" s="135">
        <v>358000</v>
      </c>
    </row>
    <row r="6" spans="1:3" ht="22.5">
      <c r="A6" s="138">
        <v>3</v>
      </c>
      <c r="B6" s="115" t="s">
        <v>333</v>
      </c>
      <c r="C6" s="135">
        <v>369000</v>
      </c>
    </row>
    <row r="7" spans="1:3" ht="22.5">
      <c r="A7" s="138">
        <v>4</v>
      </c>
      <c r="B7" s="115" t="s">
        <v>334</v>
      </c>
      <c r="C7" s="135">
        <v>526000</v>
      </c>
    </row>
    <row r="8" spans="1:3" ht="22.5">
      <c r="A8" s="138">
        <v>5</v>
      </c>
      <c r="B8" s="115" t="s">
        <v>335</v>
      </c>
      <c r="C8" s="135">
        <v>760000</v>
      </c>
    </row>
    <row r="9" spans="1:3" ht="22.5">
      <c r="A9" s="138">
        <v>6</v>
      </c>
      <c r="B9" s="115" t="s">
        <v>336</v>
      </c>
      <c r="C9" s="135">
        <v>49400</v>
      </c>
    </row>
    <row r="10" spans="1:3" ht="22.5">
      <c r="A10" s="138">
        <v>7</v>
      </c>
      <c r="B10" s="115" t="s">
        <v>337</v>
      </c>
      <c r="C10" s="135">
        <v>957500</v>
      </c>
    </row>
    <row r="11" spans="1:3" ht="22.5">
      <c r="A11" s="138">
        <v>8</v>
      </c>
      <c r="B11" s="115" t="s">
        <v>337</v>
      </c>
      <c r="C11" s="135">
        <v>930000</v>
      </c>
    </row>
    <row r="12" spans="1:3" ht="22.5">
      <c r="A12" s="138">
        <v>9</v>
      </c>
      <c r="B12" s="115" t="s">
        <v>338</v>
      </c>
      <c r="C12" s="135">
        <v>136200</v>
      </c>
    </row>
    <row r="13" spans="1:3" ht="22.5">
      <c r="A13" s="138">
        <v>10</v>
      </c>
      <c r="B13" s="115" t="s">
        <v>282</v>
      </c>
      <c r="C13" s="135">
        <v>10000</v>
      </c>
    </row>
    <row r="14" spans="1:3" ht="22.5">
      <c r="A14" s="138"/>
      <c r="B14" s="115"/>
      <c r="C14" s="135"/>
    </row>
    <row r="15" spans="1:3" ht="22.5">
      <c r="A15" s="138"/>
      <c r="B15" s="115"/>
      <c r="C15" s="135"/>
    </row>
    <row r="16" spans="1:3" ht="22.5">
      <c r="A16" s="138"/>
      <c r="B16" s="115"/>
      <c r="C16" s="135"/>
    </row>
    <row r="17" spans="1:3" ht="22.5">
      <c r="A17" s="138"/>
      <c r="B17" s="115"/>
      <c r="C17" s="135"/>
    </row>
    <row r="18" spans="1:3" ht="22.5">
      <c r="A18" s="138"/>
      <c r="B18" s="115"/>
      <c r="C18" s="135"/>
    </row>
    <row r="19" spans="1:3" ht="22.5">
      <c r="A19" s="138"/>
      <c r="B19" s="115"/>
      <c r="C19" s="135"/>
    </row>
    <row r="20" spans="1:3" ht="22.5">
      <c r="A20" s="138"/>
      <c r="B20" s="115"/>
      <c r="C20" s="135"/>
    </row>
    <row r="21" spans="1:3" ht="22.5">
      <c r="A21" s="113"/>
      <c r="B21" s="115"/>
      <c r="C21" s="135"/>
    </row>
    <row r="22" spans="1:3" ht="23.25">
      <c r="A22" s="136"/>
      <c r="B22" s="137" t="s">
        <v>9</v>
      </c>
      <c r="C22" s="139">
        <f>SUM(C4:C21)</f>
        <v>4362600</v>
      </c>
    </row>
  </sheetData>
  <mergeCells count="1">
    <mergeCell ref="A1:C1"/>
  </mergeCells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1"/>
  <sheetViews>
    <sheetView topLeftCell="A79" workbookViewId="0">
      <selection activeCell="E6" sqref="E6"/>
    </sheetView>
  </sheetViews>
  <sheetFormatPr defaultRowHeight="22.5"/>
  <cols>
    <col min="1" max="1" width="14" style="22" customWidth="1"/>
    <col min="2" max="2" width="12.125" style="22" customWidth="1"/>
    <col min="3" max="3" width="12.5" style="22" customWidth="1"/>
    <col min="4" max="4" width="13.125" style="22" customWidth="1"/>
    <col min="5" max="5" width="32.875" style="22" customWidth="1"/>
    <col min="6" max="6" width="9" style="22"/>
    <col min="7" max="7" width="14.625" style="22" customWidth="1"/>
    <col min="8" max="16384" width="9" style="22"/>
  </cols>
  <sheetData>
    <row r="1" spans="1:7" ht="23.25">
      <c r="A1" s="161" t="s">
        <v>339</v>
      </c>
      <c r="B1" s="161"/>
      <c r="C1" s="161"/>
      <c r="D1" s="162" t="s">
        <v>340</v>
      </c>
      <c r="E1" s="161"/>
    </row>
    <row r="2" spans="1:7" ht="23.25">
      <c r="A2" s="163" t="s">
        <v>341</v>
      </c>
      <c r="B2" s="163"/>
      <c r="C2" s="163"/>
      <c r="D2" s="164" t="s">
        <v>342</v>
      </c>
      <c r="E2" s="163"/>
    </row>
    <row r="3" spans="1:7">
      <c r="E3" s="157" t="s">
        <v>343</v>
      </c>
    </row>
    <row r="4" spans="1:7" ht="23.25">
      <c r="A4" s="165" t="s">
        <v>357</v>
      </c>
      <c r="B4" s="165"/>
      <c r="C4" s="165"/>
      <c r="D4" s="165"/>
      <c r="E4" s="166">
        <v>9863430.2300000004</v>
      </c>
    </row>
    <row r="5" spans="1:7" ht="23.25">
      <c r="A5" s="165" t="s">
        <v>344</v>
      </c>
      <c r="B5" s="165"/>
      <c r="E5" s="36"/>
    </row>
    <row r="6" spans="1:7">
      <c r="A6" s="167" t="s">
        <v>345</v>
      </c>
      <c r="B6" s="167" t="s">
        <v>346</v>
      </c>
      <c r="C6" s="167" t="s">
        <v>256</v>
      </c>
      <c r="E6" s="36"/>
      <c r="F6" s="51"/>
      <c r="G6" s="155"/>
    </row>
    <row r="7" spans="1:7">
      <c r="C7" s="168"/>
      <c r="E7" s="36"/>
      <c r="F7" s="51"/>
      <c r="G7" s="155"/>
    </row>
    <row r="8" spans="1:7">
      <c r="A8" s="22" t="s">
        <v>347</v>
      </c>
      <c r="B8" s="22" t="s">
        <v>348</v>
      </c>
      <c r="C8" s="22" t="s">
        <v>347</v>
      </c>
      <c r="E8" s="36"/>
      <c r="F8" s="51"/>
      <c r="G8" s="155"/>
    </row>
    <row r="9" spans="1:7" ht="23.25">
      <c r="A9" s="165" t="s">
        <v>349</v>
      </c>
      <c r="B9" s="165"/>
      <c r="C9" s="165"/>
      <c r="E9" s="36"/>
      <c r="F9" s="51"/>
      <c r="G9" s="155"/>
    </row>
    <row r="10" spans="1:7">
      <c r="A10" s="167" t="s">
        <v>350</v>
      </c>
      <c r="B10" s="167" t="s">
        <v>351</v>
      </c>
      <c r="C10" s="167" t="s">
        <v>256</v>
      </c>
      <c r="E10" s="36"/>
      <c r="F10" s="51"/>
      <c r="G10" s="155"/>
    </row>
    <row r="11" spans="1:7">
      <c r="A11" s="169" t="s">
        <v>358</v>
      </c>
      <c r="B11" s="170" t="s">
        <v>370</v>
      </c>
      <c r="C11" s="171">
        <v>0.01</v>
      </c>
      <c r="D11" s="172"/>
      <c r="E11" s="173"/>
      <c r="F11" s="51"/>
      <c r="G11" s="155"/>
    </row>
    <row r="12" spans="1:7">
      <c r="A12" s="169" t="s">
        <v>359</v>
      </c>
      <c r="B12" s="170" t="s">
        <v>379</v>
      </c>
      <c r="C12" s="174">
        <v>470</v>
      </c>
      <c r="D12" s="172"/>
      <c r="E12" s="173"/>
      <c r="F12" s="51"/>
      <c r="G12" s="155"/>
    </row>
    <row r="13" spans="1:7">
      <c r="A13" s="205" t="s">
        <v>360</v>
      </c>
      <c r="B13" s="206" t="s">
        <v>380</v>
      </c>
      <c r="C13" s="177">
        <v>415.27</v>
      </c>
      <c r="D13" s="175"/>
      <c r="E13" s="178"/>
      <c r="F13" s="51"/>
      <c r="G13" s="155"/>
    </row>
    <row r="14" spans="1:7">
      <c r="A14" s="205" t="s">
        <v>361</v>
      </c>
      <c r="B14" s="206" t="s">
        <v>381</v>
      </c>
      <c r="C14" s="177">
        <v>196.04</v>
      </c>
      <c r="D14" s="175"/>
      <c r="E14" s="178"/>
      <c r="F14" s="51"/>
      <c r="G14" s="155"/>
    </row>
    <row r="15" spans="1:7">
      <c r="A15" s="205" t="s">
        <v>363</v>
      </c>
      <c r="B15" s="206" t="s">
        <v>382</v>
      </c>
      <c r="C15" s="177">
        <v>360</v>
      </c>
      <c r="D15" s="175"/>
      <c r="E15" s="178"/>
      <c r="F15" s="51"/>
      <c r="G15" s="155"/>
    </row>
    <row r="16" spans="1:7">
      <c r="A16" s="205" t="s">
        <v>362</v>
      </c>
      <c r="B16" s="206" t="s">
        <v>383</v>
      </c>
      <c r="C16" s="177">
        <v>1800</v>
      </c>
      <c r="D16" s="175"/>
      <c r="E16" s="178"/>
      <c r="F16" s="51"/>
      <c r="G16" s="155"/>
    </row>
    <row r="17" spans="1:7">
      <c r="A17" s="205" t="s">
        <v>364</v>
      </c>
      <c r="B17" s="206" t="s">
        <v>384</v>
      </c>
      <c r="C17" s="177">
        <v>2120</v>
      </c>
      <c r="D17" s="175"/>
      <c r="E17" s="178"/>
      <c r="F17" s="51"/>
      <c r="G17" s="155"/>
    </row>
    <row r="18" spans="1:7">
      <c r="A18" s="205" t="s">
        <v>364</v>
      </c>
      <c r="B18" s="206" t="s">
        <v>385</v>
      </c>
      <c r="C18" s="177">
        <v>900</v>
      </c>
      <c r="D18" s="175"/>
      <c r="E18" s="178"/>
      <c r="F18" s="51"/>
      <c r="G18" s="155"/>
    </row>
    <row r="19" spans="1:7">
      <c r="A19" s="205" t="s">
        <v>364</v>
      </c>
      <c r="B19" s="206" t="s">
        <v>386</v>
      </c>
      <c r="C19" s="177">
        <v>14314.95</v>
      </c>
      <c r="D19" s="175"/>
      <c r="E19" s="178"/>
      <c r="F19" s="51"/>
      <c r="G19" s="155"/>
    </row>
    <row r="20" spans="1:7">
      <c r="A20" s="205" t="s">
        <v>364</v>
      </c>
      <c r="B20" s="206" t="s">
        <v>387</v>
      </c>
      <c r="C20" s="177">
        <v>14852.88</v>
      </c>
      <c r="D20" s="175"/>
      <c r="E20" s="178"/>
      <c r="F20" s="51"/>
      <c r="G20" s="155"/>
    </row>
    <row r="21" spans="1:7">
      <c r="A21" s="205" t="s">
        <v>365</v>
      </c>
      <c r="B21" s="206" t="s">
        <v>388</v>
      </c>
      <c r="C21" s="177">
        <v>1920</v>
      </c>
      <c r="D21" s="175"/>
      <c r="E21" s="178"/>
      <c r="F21" s="51"/>
      <c r="G21" s="155"/>
    </row>
    <row r="22" spans="1:7">
      <c r="A22" s="205" t="s">
        <v>366</v>
      </c>
      <c r="B22" s="206" t="s">
        <v>389</v>
      </c>
      <c r="C22" s="177">
        <v>10461.31</v>
      </c>
      <c r="D22" s="175"/>
      <c r="E22" s="178"/>
      <c r="F22" s="51"/>
      <c r="G22" s="155"/>
    </row>
    <row r="23" spans="1:7">
      <c r="A23" s="205" t="s">
        <v>367</v>
      </c>
      <c r="B23" s="206" t="s">
        <v>390</v>
      </c>
      <c r="C23" s="177">
        <v>6376.64</v>
      </c>
      <c r="D23" s="175"/>
      <c r="E23" s="178"/>
      <c r="F23" s="51"/>
      <c r="G23" s="155"/>
    </row>
    <row r="24" spans="1:7">
      <c r="A24" s="205" t="s">
        <v>367</v>
      </c>
      <c r="B24" s="206" t="s">
        <v>391</v>
      </c>
      <c r="C24" s="177">
        <v>2294.4499999999998</v>
      </c>
      <c r="D24" s="175"/>
      <c r="E24" s="178"/>
      <c r="F24" s="51"/>
      <c r="G24" s="155"/>
    </row>
    <row r="25" spans="1:7">
      <c r="A25" s="205" t="s">
        <v>367</v>
      </c>
      <c r="B25" s="206" t="s">
        <v>392</v>
      </c>
      <c r="C25" s="177">
        <v>696000</v>
      </c>
      <c r="D25" s="175"/>
      <c r="E25" s="178"/>
      <c r="F25" s="51"/>
      <c r="G25" s="155"/>
    </row>
    <row r="26" spans="1:7">
      <c r="A26" s="205" t="s">
        <v>367</v>
      </c>
      <c r="B26" s="206" t="s">
        <v>393</v>
      </c>
      <c r="C26" s="177">
        <v>2690</v>
      </c>
      <c r="D26" s="175"/>
      <c r="E26" s="178"/>
      <c r="F26" s="51"/>
      <c r="G26" s="155"/>
    </row>
    <row r="27" spans="1:7">
      <c r="A27" s="205" t="s">
        <v>367</v>
      </c>
      <c r="B27" s="206" t="s">
        <v>394</v>
      </c>
      <c r="C27" s="177">
        <v>1100</v>
      </c>
      <c r="D27" s="175"/>
      <c r="E27" s="178"/>
      <c r="F27" s="51"/>
      <c r="G27" s="155"/>
    </row>
    <row r="28" spans="1:7">
      <c r="A28" s="205" t="s">
        <v>368</v>
      </c>
      <c r="B28" s="206" t="s">
        <v>395</v>
      </c>
      <c r="C28" s="177">
        <v>10748.6</v>
      </c>
      <c r="D28" s="175"/>
      <c r="E28" s="178"/>
      <c r="F28" s="51"/>
      <c r="G28" s="155"/>
    </row>
    <row r="29" spans="1:7">
      <c r="A29" s="205" t="s">
        <v>368</v>
      </c>
      <c r="B29" s="206" t="s">
        <v>395</v>
      </c>
      <c r="C29" s="177">
        <v>30000</v>
      </c>
      <c r="D29" s="175"/>
      <c r="E29" s="178"/>
      <c r="F29" s="51"/>
      <c r="G29" s="155"/>
    </row>
    <row r="30" spans="1:7">
      <c r="A30" s="205" t="s">
        <v>369</v>
      </c>
      <c r="B30" s="206" t="s">
        <v>396</v>
      </c>
      <c r="C30" s="177">
        <v>30312</v>
      </c>
      <c r="D30" s="175"/>
      <c r="E30" s="178"/>
      <c r="F30" s="51"/>
      <c r="G30" s="155"/>
    </row>
    <row r="31" spans="1:7">
      <c r="A31" s="205" t="s">
        <v>369</v>
      </c>
      <c r="B31" s="206" t="s">
        <v>397</v>
      </c>
      <c r="C31" s="177">
        <v>30312</v>
      </c>
      <c r="D31" s="175"/>
      <c r="E31" s="178"/>
      <c r="F31" s="51"/>
      <c r="G31" s="155"/>
    </row>
    <row r="32" spans="1:7">
      <c r="A32" s="205" t="s">
        <v>369</v>
      </c>
      <c r="B32" s="206" t="s">
        <v>398</v>
      </c>
      <c r="C32" s="177">
        <v>60940</v>
      </c>
      <c r="D32" s="175"/>
      <c r="E32" s="178"/>
      <c r="F32" s="51"/>
      <c r="G32" s="155"/>
    </row>
    <row r="33" spans="1:7">
      <c r="A33" s="205" t="s">
        <v>369</v>
      </c>
      <c r="B33" s="206" t="s">
        <v>399</v>
      </c>
      <c r="C33" s="177">
        <v>46295</v>
      </c>
      <c r="D33" s="175"/>
      <c r="E33" s="178"/>
      <c r="F33" s="51"/>
      <c r="G33" s="155"/>
    </row>
    <row r="34" spans="1:7">
      <c r="A34" s="205" t="s">
        <v>369</v>
      </c>
      <c r="B34" s="206" t="s">
        <v>400</v>
      </c>
      <c r="C34" s="177">
        <v>100403</v>
      </c>
      <c r="D34" s="175"/>
      <c r="E34" s="178"/>
      <c r="F34" s="51"/>
      <c r="G34" s="155"/>
    </row>
    <row r="35" spans="1:7">
      <c r="A35" s="205" t="s">
        <v>369</v>
      </c>
      <c r="B35" s="206" t="s">
        <v>401</v>
      </c>
      <c r="C35" s="177">
        <v>56038</v>
      </c>
      <c r="D35" s="175"/>
      <c r="E35" s="178"/>
      <c r="F35" s="51"/>
      <c r="G35" s="155"/>
    </row>
    <row r="36" spans="1:7">
      <c r="A36" s="205" t="s">
        <v>369</v>
      </c>
      <c r="B36" s="206" t="s">
        <v>402</v>
      </c>
      <c r="C36" s="177">
        <v>54108</v>
      </c>
      <c r="D36" s="175"/>
      <c r="E36" s="178"/>
      <c r="F36" s="51"/>
      <c r="G36" s="155"/>
    </row>
    <row r="37" spans="1:7">
      <c r="A37" s="205" t="s">
        <v>369</v>
      </c>
      <c r="B37" s="206" t="s">
        <v>403</v>
      </c>
      <c r="C37" s="177">
        <v>13983</v>
      </c>
      <c r="D37" s="175"/>
      <c r="E37" s="178"/>
      <c r="F37" s="51"/>
      <c r="G37" s="155"/>
    </row>
    <row r="38" spans="1:7">
      <c r="A38" s="169" t="s">
        <v>369</v>
      </c>
      <c r="B38" s="206" t="s">
        <v>404</v>
      </c>
      <c r="C38" s="177">
        <v>13983</v>
      </c>
      <c r="D38" s="172"/>
      <c r="E38" s="173"/>
      <c r="F38" s="51"/>
      <c r="G38" s="155"/>
    </row>
    <row r="39" spans="1:7">
      <c r="A39" s="205" t="s">
        <v>369</v>
      </c>
      <c r="B39" s="206" t="s">
        <v>405</v>
      </c>
      <c r="C39" s="177">
        <v>395642</v>
      </c>
      <c r="D39" s="175"/>
      <c r="E39" s="178"/>
      <c r="F39" s="51"/>
      <c r="G39" s="155"/>
    </row>
    <row r="40" spans="1:7">
      <c r="A40" s="205" t="s">
        <v>369</v>
      </c>
      <c r="B40" s="206" t="s">
        <v>406</v>
      </c>
      <c r="C40" s="177">
        <v>23775.7</v>
      </c>
      <c r="D40" s="175"/>
      <c r="E40" s="178"/>
      <c r="F40" s="51"/>
      <c r="G40" s="155"/>
    </row>
    <row r="41" spans="1:7">
      <c r="A41" s="205" t="s">
        <v>369</v>
      </c>
      <c r="B41" s="206" t="s">
        <v>407</v>
      </c>
      <c r="C41" s="177">
        <v>94592.960000000006</v>
      </c>
      <c r="D41" s="175"/>
      <c r="E41" s="178"/>
      <c r="F41" s="51"/>
      <c r="G41" s="155"/>
    </row>
    <row r="42" spans="1:7">
      <c r="A42" s="205" t="s">
        <v>369</v>
      </c>
      <c r="B42" s="206" t="s">
        <v>411</v>
      </c>
      <c r="C42" s="177">
        <v>18810</v>
      </c>
      <c r="D42" s="175"/>
      <c r="E42" s="178"/>
      <c r="F42" s="51"/>
      <c r="G42" s="155"/>
    </row>
    <row r="43" spans="1:7">
      <c r="A43" s="205" t="s">
        <v>369</v>
      </c>
      <c r="B43" s="206" t="s">
        <v>408</v>
      </c>
      <c r="C43" s="177">
        <v>8915.89</v>
      </c>
      <c r="D43" s="175"/>
      <c r="E43" s="178"/>
      <c r="F43" s="51"/>
      <c r="G43" s="155"/>
    </row>
    <row r="44" spans="1:7">
      <c r="A44" s="205" t="s">
        <v>369</v>
      </c>
      <c r="B44" s="206" t="s">
        <v>409</v>
      </c>
      <c r="C44" s="177">
        <v>3145</v>
      </c>
      <c r="D44" s="175"/>
      <c r="E44" s="178"/>
      <c r="F44" s="51"/>
      <c r="G44" s="155"/>
    </row>
    <row r="45" spans="1:7">
      <c r="A45" s="205" t="s">
        <v>369</v>
      </c>
      <c r="B45" s="206" t="s">
        <v>410</v>
      </c>
      <c r="C45" s="177">
        <v>875</v>
      </c>
      <c r="D45" s="175"/>
      <c r="E45" s="178"/>
      <c r="F45" s="51"/>
      <c r="G45" s="155"/>
    </row>
    <row r="46" spans="1:7">
      <c r="A46" s="205" t="s">
        <v>369</v>
      </c>
      <c r="B46" s="206" t="s">
        <v>412</v>
      </c>
      <c r="C46" s="177">
        <v>13000</v>
      </c>
      <c r="D46" s="175"/>
      <c r="E46" s="178"/>
      <c r="F46" s="51"/>
      <c r="G46" s="155"/>
    </row>
    <row r="47" spans="1:7">
      <c r="A47" s="205" t="s">
        <v>369</v>
      </c>
      <c r="B47" s="206" t="s">
        <v>414</v>
      </c>
      <c r="C47" s="177">
        <v>154703.37</v>
      </c>
      <c r="D47" s="175"/>
      <c r="E47" s="178"/>
      <c r="F47" s="51"/>
      <c r="G47" s="155"/>
    </row>
    <row r="48" spans="1:7">
      <c r="A48" s="205" t="s">
        <v>369</v>
      </c>
      <c r="B48" s="206" t="s">
        <v>415</v>
      </c>
      <c r="C48" s="177">
        <v>3500</v>
      </c>
      <c r="D48" s="175"/>
      <c r="E48" s="178"/>
      <c r="F48" s="51"/>
      <c r="G48" s="155"/>
    </row>
    <row r="49" spans="1:7">
      <c r="A49" s="205" t="s">
        <v>369</v>
      </c>
      <c r="B49" s="206" t="s">
        <v>416</v>
      </c>
      <c r="C49" s="177">
        <v>1237</v>
      </c>
      <c r="D49" s="175"/>
      <c r="E49" s="178"/>
      <c r="F49" s="51"/>
      <c r="G49" s="155"/>
    </row>
    <row r="50" spans="1:7">
      <c r="A50" s="205" t="s">
        <v>369</v>
      </c>
      <c r="B50" s="206" t="s">
        <v>417</v>
      </c>
      <c r="C50" s="177">
        <v>12799.25</v>
      </c>
      <c r="D50" s="175"/>
      <c r="E50" s="178"/>
      <c r="F50" s="51"/>
      <c r="G50" s="155"/>
    </row>
    <row r="51" spans="1:7">
      <c r="A51" s="205" t="s">
        <v>369</v>
      </c>
      <c r="B51" s="206" t="s">
        <v>418</v>
      </c>
      <c r="C51" s="177">
        <v>3350</v>
      </c>
      <c r="D51" s="175"/>
      <c r="E51" s="178"/>
      <c r="F51" s="51"/>
      <c r="G51" s="155"/>
    </row>
    <row r="52" spans="1:7">
      <c r="A52" s="205" t="s">
        <v>369</v>
      </c>
      <c r="B52" s="206" t="s">
        <v>419</v>
      </c>
      <c r="C52" s="177">
        <v>1950</v>
      </c>
      <c r="D52" s="175"/>
      <c r="E52" s="178"/>
      <c r="F52" s="51"/>
      <c r="G52" s="155"/>
    </row>
    <row r="53" spans="1:7">
      <c r="A53" s="205" t="s">
        <v>369</v>
      </c>
      <c r="B53" s="206" t="s">
        <v>420</v>
      </c>
      <c r="C53" s="177">
        <v>18024.95</v>
      </c>
      <c r="D53" s="175"/>
      <c r="E53" s="178"/>
      <c r="F53" s="51"/>
      <c r="G53" s="155"/>
    </row>
    <row r="54" spans="1:7">
      <c r="A54" s="205" t="s">
        <v>369</v>
      </c>
      <c r="B54" s="206" t="s">
        <v>421</v>
      </c>
      <c r="C54" s="177">
        <v>79718.929999999993</v>
      </c>
      <c r="D54" s="175"/>
      <c r="E54" s="178"/>
      <c r="F54" s="51"/>
      <c r="G54" s="155"/>
    </row>
    <row r="55" spans="1:7">
      <c r="A55" s="205" t="s">
        <v>369</v>
      </c>
      <c r="B55" s="206" t="s">
        <v>422</v>
      </c>
      <c r="C55" s="177">
        <v>210.79</v>
      </c>
      <c r="D55" s="175"/>
      <c r="E55" s="178"/>
      <c r="F55" s="51"/>
      <c r="G55" s="155"/>
    </row>
    <row r="56" spans="1:7">
      <c r="A56" s="205" t="s">
        <v>369</v>
      </c>
      <c r="B56" s="206" t="s">
        <v>423</v>
      </c>
      <c r="C56" s="177">
        <v>9278.68</v>
      </c>
      <c r="D56" s="175"/>
      <c r="E56" s="178"/>
      <c r="F56" s="51"/>
      <c r="G56" s="155"/>
    </row>
    <row r="57" spans="1:7">
      <c r="A57" s="205" t="s">
        <v>369</v>
      </c>
      <c r="B57" s="206" t="s">
        <v>424</v>
      </c>
      <c r="C57" s="177">
        <v>4720</v>
      </c>
      <c r="D57" s="175"/>
      <c r="E57" s="178"/>
      <c r="F57" s="51"/>
      <c r="G57" s="155"/>
    </row>
    <row r="58" spans="1:7">
      <c r="A58" s="205" t="s">
        <v>369</v>
      </c>
      <c r="B58" s="206" t="s">
        <v>413</v>
      </c>
      <c r="C58" s="177">
        <v>163074.87</v>
      </c>
      <c r="D58" s="175"/>
      <c r="E58" s="178"/>
      <c r="F58" s="51"/>
      <c r="G58" s="155"/>
    </row>
    <row r="59" spans="1:7">
      <c r="A59" s="205" t="s">
        <v>369</v>
      </c>
      <c r="B59" s="206" t="s">
        <v>425</v>
      </c>
      <c r="C59" s="177">
        <v>4776</v>
      </c>
      <c r="D59" s="175"/>
      <c r="E59" s="178"/>
      <c r="F59" s="51"/>
      <c r="G59" s="155"/>
    </row>
    <row r="60" spans="1:7">
      <c r="A60" s="205" t="s">
        <v>369</v>
      </c>
      <c r="B60" s="206" t="s">
        <v>426</v>
      </c>
      <c r="C60" s="177">
        <v>10000</v>
      </c>
      <c r="D60" s="175"/>
      <c r="E60" s="178"/>
      <c r="F60" s="51"/>
      <c r="G60" s="155"/>
    </row>
    <row r="61" spans="1:7">
      <c r="A61" s="205" t="s">
        <v>369</v>
      </c>
      <c r="B61" s="206" t="s">
        <v>427</v>
      </c>
      <c r="C61" s="177">
        <v>10000</v>
      </c>
      <c r="D61" s="175"/>
      <c r="E61" s="178"/>
      <c r="F61" s="51"/>
      <c r="G61" s="155"/>
    </row>
    <row r="62" spans="1:7">
      <c r="A62" s="205" t="s">
        <v>369</v>
      </c>
      <c r="B62" s="206" t="s">
        <v>428</v>
      </c>
      <c r="C62" s="177">
        <v>10000</v>
      </c>
      <c r="D62" s="175"/>
      <c r="E62" s="178"/>
      <c r="F62" s="51"/>
      <c r="G62" s="155"/>
    </row>
    <row r="63" spans="1:7">
      <c r="A63" s="205" t="s">
        <v>369</v>
      </c>
      <c r="B63" s="206" t="s">
        <v>429</v>
      </c>
      <c r="C63" s="177">
        <v>10000</v>
      </c>
      <c r="D63" s="175"/>
      <c r="E63" s="178"/>
      <c r="F63" s="51"/>
      <c r="G63" s="155"/>
    </row>
    <row r="64" spans="1:7">
      <c r="A64" s="205" t="s">
        <v>369</v>
      </c>
      <c r="B64" s="206" t="s">
        <v>430</v>
      </c>
      <c r="C64" s="177">
        <v>10000</v>
      </c>
      <c r="D64" s="175"/>
      <c r="E64" s="178"/>
      <c r="F64" s="51"/>
      <c r="G64" s="155"/>
    </row>
    <row r="65" spans="1:7">
      <c r="A65" s="205" t="s">
        <v>369</v>
      </c>
      <c r="B65" s="206" t="s">
        <v>431</v>
      </c>
      <c r="C65" s="177">
        <v>10000</v>
      </c>
      <c r="D65" s="175"/>
      <c r="E65" s="178"/>
      <c r="F65" s="51"/>
      <c r="G65" s="155"/>
    </row>
    <row r="66" spans="1:7">
      <c r="A66" s="205" t="s">
        <v>369</v>
      </c>
      <c r="B66" s="206" t="s">
        <v>432</v>
      </c>
      <c r="C66" s="177">
        <v>10000</v>
      </c>
      <c r="D66" s="175"/>
      <c r="E66" s="178"/>
      <c r="F66" s="51"/>
      <c r="G66" s="155"/>
    </row>
    <row r="67" spans="1:7">
      <c r="A67" s="205" t="s">
        <v>369</v>
      </c>
      <c r="B67" s="206" t="s">
        <v>433</v>
      </c>
      <c r="C67" s="177">
        <v>10000</v>
      </c>
      <c r="D67" s="175"/>
      <c r="E67" s="178"/>
      <c r="F67" s="51"/>
      <c r="G67" s="155"/>
    </row>
    <row r="68" spans="1:7">
      <c r="A68" s="205" t="s">
        <v>369</v>
      </c>
      <c r="B68" s="206" t="s">
        <v>434</v>
      </c>
      <c r="C68" s="177">
        <v>10000</v>
      </c>
      <c r="D68" s="175"/>
      <c r="E68" s="178"/>
      <c r="F68" s="51"/>
      <c r="G68" s="155"/>
    </row>
    <row r="69" spans="1:7">
      <c r="A69" s="205" t="s">
        <v>369</v>
      </c>
      <c r="B69" s="206" t="s">
        <v>435</v>
      </c>
      <c r="C69" s="177">
        <v>10000</v>
      </c>
      <c r="D69" s="175"/>
      <c r="E69" s="178"/>
      <c r="F69" s="51"/>
      <c r="G69" s="155"/>
    </row>
    <row r="70" spans="1:7">
      <c r="A70" s="205" t="s">
        <v>369</v>
      </c>
      <c r="B70" s="206" t="s">
        <v>436</v>
      </c>
      <c r="C70" s="177">
        <v>330</v>
      </c>
      <c r="D70" s="175"/>
      <c r="E70" s="178"/>
      <c r="F70" s="51"/>
      <c r="G70" s="155"/>
    </row>
    <row r="71" spans="1:7">
      <c r="A71" s="205" t="s">
        <v>369</v>
      </c>
      <c r="B71" s="206" t="s">
        <v>437</v>
      </c>
      <c r="C71" s="177">
        <v>5140</v>
      </c>
      <c r="D71" s="175"/>
      <c r="E71" s="178">
        <f>SUM(C11:D71)</f>
        <v>2324964.5399999996</v>
      </c>
      <c r="F71" s="51"/>
      <c r="G71" s="51"/>
    </row>
    <row r="72" spans="1:7">
      <c r="A72" s="175"/>
      <c r="B72" s="176"/>
      <c r="C72" s="177"/>
      <c r="D72" s="175"/>
      <c r="E72" s="178"/>
      <c r="F72" s="51"/>
      <c r="G72" s="204"/>
    </row>
    <row r="73" spans="1:7" ht="23.25">
      <c r="A73" s="165" t="s">
        <v>352</v>
      </c>
      <c r="B73" s="165"/>
      <c r="E73" s="38"/>
      <c r="F73" s="51"/>
      <c r="G73" s="51"/>
    </row>
    <row r="74" spans="1:7">
      <c r="A74" s="179" t="s">
        <v>353</v>
      </c>
      <c r="E74" s="38"/>
      <c r="F74" s="51"/>
      <c r="G74" s="51"/>
    </row>
    <row r="75" spans="1:7">
      <c r="A75" s="22" t="s">
        <v>347</v>
      </c>
      <c r="B75" s="22" t="s">
        <v>348</v>
      </c>
      <c r="C75" s="22" t="s">
        <v>347</v>
      </c>
      <c r="E75" s="38"/>
      <c r="F75" s="51"/>
      <c r="G75" s="51"/>
    </row>
    <row r="76" spans="1:7">
      <c r="A76" s="22" t="s">
        <v>347</v>
      </c>
      <c r="B76" s="22" t="s">
        <v>348</v>
      </c>
      <c r="C76" s="22" t="s">
        <v>347</v>
      </c>
      <c r="E76" s="38"/>
      <c r="F76" s="51"/>
      <c r="G76" s="51"/>
    </row>
    <row r="77" spans="1:7" ht="23.25">
      <c r="A77" s="165" t="s">
        <v>354</v>
      </c>
      <c r="B77" s="165"/>
      <c r="C77" s="165"/>
      <c r="D77" s="165"/>
      <c r="E77" s="180">
        <f>+E4-E71</f>
        <v>7538465.6900000013</v>
      </c>
      <c r="F77" s="51"/>
      <c r="G77" s="51"/>
    </row>
    <row r="78" spans="1:7">
      <c r="A78" s="181" t="s">
        <v>108</v>
      </c>
      <c r="B78" s="181"/>
      <c r="C78" s="181"/>
      <c r="D78" s="182" t="s">
        <v>355</v>
      </c>
      <c r="E78" s="181"/>
      <c r="F78" s="51"/>
      <c r="G78" s="51"/>
    </row>
    <row r="79" spans="1:7">
      <c r="A79" s="51"/>
      <c r="B79" s="51"/>
      <c r="C79" s="51"/>
      <c r="D79" s="35"/>
      <c r="E79" s="51"/>
      <c r="F79" s="51"/>
      <c r="G79" s="51"/>
    </row>
    <row r="80" spans="1:7">
      <c r="A80" s="329" t="s">
        <v>439</v>
      </c>
      <c r="B80" s="329"/>
      <c r="C80" s="330"/>
      <c r="D80" s="312" t="s">
        <v>438</v>
      </c>
      <c r="E80" s="331"/>
      <c r="F80" s="51"/>
      <c r="G80" s="51"/>
    </row>
    <row r="81" spans="1:7">
      <c r="A81" s="332" t="s">
        <v>356</v>
      </c>
      <c r="B81" s="332"/>
      <c r="C81" s="333"/>
      <c r="D81" s="315" t="s">
        <v>440</v>
      </c>
      <c r="E81" s="317"/>
      <c r="F81" s="51"/>
      <c r="G81" s="51"/>
    </row>
  </sheetData>
  <mergeCells count="4">
    <mergeCell ref="A80:C80"/>
    <mergeCell ref="D80:E80"/>
    <mergeCell ref="A81:C81"/>
    <mergeCell ref="D81:E81"/>
  </mergeCells>
  <pageMargins left="0.7" right="0.7" top="0.75" bottom="0.75" header="0.3" footer="0.3"/>
  <pageSetup orientation="portrait" horizontalDpi="4294967293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8"/>
  <sheetViews>
    <sheetView topLeftCell="A4" workbookViewId="0">
      <selection activeCell="C33" sqref="C33"/>
    </sheetView>
  </sheetViews>
  <sheetFormatPr defaultColWidth="23.25" defaultRowHeight="22.5"/>
  <cols>
    <col min="1" max="1" width="6.375" style="258" customWidth="1"/>
    <col min="2" max="2" width="26.375" style="258" customWidth="1"/>
    <col min="3" max="5" width="16.625" style="258" customWidth="1"/>
    <col min="6" max="16384" width="23.25" style="258"/>
  </cols>
  <sheetData>
    <row r="1" spans="1:5" ht="23.25">
      <c r="A1" s="336" t="s">
        <v>472</v>
      </c>
      <c r="B1" s="336"/>
      <c r="C1" s="336"/>
      <c r="D1" s="336"/>
      <c r="E1" s="336"/>
    </row>
    <row r="2" spans="1:5">
      <c r="A2" s="22"/>
      <c r="B2" s="22"/>
      <c r="C2" s="22"/>
      <c r="D2" s="22"/>
      <c r="E2" s="22"/>
    </row>
    <row r="3" spans="1:5" ht="23.25">
      <c r="A3" s="337" t="s">
        <v>339</v>
      </c>
      <c r="B3" s="337"/>
      <c r="C3" s="337"/>
      <c r="D3" s="337"/>
      <c r="E3" s="337"/>
    </row>
    <row r="4" spans="1:5" ht="23.25">
      <c r="A4" s="337" t="s">
        <v>473</v>
      </c>
      <c r="B4" s="337"/>
      <c r="C4" s="337"/>
      <c r="D4" s="337"/>
      <c r="E4" s="337"/>
    </row>
    <row r="5" spans="1:5" ht="23.25">
      <c r="A5" s="337" t="s">
        <v>248</v>
      </c>
      <c r="B5" s="337"/>
      <c r="C5" s="337"/>
      <c r="D5" s="337"/>
      <c r="E5" s="337"/>
    </row>
    <row r="6" spans="1:5">
      <c r="A6" s="22"/>
      <c r="B6" s="22"/>
      <c r="C6" s="22"/>
      <c r="D6" s="22"/>
      <c r="E6" s="22"/>
    </row>
    <row r="7" spans="1:5">
      <c r="A7" s="320" t="s">
        <v>458</v>
      </c>
      <c r="B7" s="321"/>
      <c r="C7" s="48" t="s">
        <v>474</v>
      </c>
      <c r="D7" s="309" t="s">
        <v>475</v>
      </c>
      <c r="E7" s="310"/>
    </row>
    <row r="8" spans="1:5">
      <c r="A8" s="55"/>
      <c r="B8" s="259"/>
      <c r="C8" s="56"/>
      <c r="D8" s="26" t="s">
        <v>476</v>
      </c>
      <c r="E8" s="25" t="s">
        <v>256</v>
      </c>
    </row>
    <row r="9" spans="1:5">
      <c r="A9" s="35"/>
      <c r="B9" s="51"/>
      <c r="C9" s="52"/>
      <c r="D9" s="51"/>
      <c r="E9" s="52"/>
    </row>
    <row r="10" spans="1:5">
      <c r="A10" s="35" t="s">
        <v>447</v>
      </c>
      <c r="B10" s="51"/>
      <c r="C10" s="260"/>
      <c r="D10" s="38" t="s">
        <v>492</v>
      </c>
      <c r="E10" s="37">
        <f>+C33</f>
        <v>7190400</v>
      </c>
    </row>
    <row r="11" spans="1:5">
      <c r="A11" s="35">
        <v>1</v>
      </c>
      <c r="B11" s="51" t="s">
        <v>477</v>
      </c>
      <c r="C11" s="37">
        <v>0</v>
      </c>
      <c r="D11" s="38" t="s">
        <v>488</v>
      </c>
      <c r="E11" s="37">
        <v>614000</v>
      </c>
    </row>
    <row r="12" spans="1:5">
      <c r="A12" s="35">
        <v>2</v>
      </c>
      <c r="B12" s="51" t="s">
        <v>493</v>
      </c>
      <c r="C12" s="37">
        <v>400000</v>
      </c>
      <c r="D12" s="38" t="s">
        <v>489</v>
      </c>
      <c r="E12" s="37"/>
    </row>
    <row r="13" spans="1:5">
      <c r="A13" s="35">
        <v>3</v>
      </c>
      <c r="B13" s="51" t="s">
        <v>281</v>
      </c>
      <c r="C13" s="37">
        <v>4399000</v>
      </c>
      <c r="D13" s="38" t="s">
        <v>490</v>
      </c>
      <c r="E13" s="37">
        <v>605500</v>
      </c>
    </row>
    <row r="14" spans="1:5">
      <c r="A14" s="35">
        <v>4</v>
      </c>
      <c r="B14" s="51" t="s">
        <v>494</v>
      </c>
      <c r="C14" s="37">
        <v>597000</v>
      </c>
      <c r="D14" s="38" t="s">
        <v>491</v>
      </c>
      <c r="E14" s="37"/>
    </row>
    <row r="15" spans="1:5">
      <c r="A15" s="35">
        <v>5</v>
      </c>
      <c r="B15" s="51" t="s">
        <v>495</v>
      </c>
      <c r="C15" s="37">
        <v>15500</v>
      </c>
      <c r="D15" s="38"/>
      <c r="E15" s="37"/>
    </row>
    <row r="16" spans="1:5">
      <c r="A16" s="35">
        <v>6</v>
      </c>
      <c r="B16" s="51" t="s">
        <v>496</v>
      </c>
      <c r="C16" s="37">
        <v>411500</v>
      </c>
      <c r="D16" s="38"/>
      <c r="E16" s="37"/>
    </row>
    <row r="17" spans="1:5">
      <c r="A17" s="35"/>
      <c r="B17" s="51"/>
      <c r="C17" s="37"/>
      <c r="D17" s="38"/>
      <c r="E17" s="37"/>
    </row>
    <row r="18" spans="1:5">
      <c r="A18" s="35" t="s">
        <v>448</v>
      </c>
      <c r="B18" s="51"/>
      <c r="C18" s="37"/>
      <c r="D18" s="38"/>
      <c r="E18" s="37"/>
    </row>
    <row r="19" spans="1:5">
      <c r="A19" s="35">
        <v>1</v>
      </c>
      <c r="B19" s="51" t="s">
        <v>478</v>
      </c>
      <c r="C19" s="37">
        <v>116300</v>
      </c>
      <c r="D19" s="38"/>
      <c r="E19" s="37"/>
    </row>
    <row r="20" spans="1:5">
      <c r="A20" s="35">
        <v>2</v>
      </c>
      <c r="B20" s="51" t="s">
        <v>479</v>
      </c>
      <c r="C20" s="37">
        <v>99800</v>
      </c>
      <c r="D20" s="38"/>
      <c r="E20" s="37"/>
    </row>
    <row r="21" spans="1:5">
      <c r="A21" s="35">
        <v>3</v>
      </c>
      <c r="B21" s="51" t="s">
        <v>480</v>
      </c>
      <c r="C21" s="37">
        <v>133500</v>
      </c>
      <c r="D21" s="38"/>
      <c r="E21" s="37"/>
    </row>
    <row r="22" spans="1:5">
      <c r="A22" s="35">
        <v>4</v>
      </c>
      <c r="B22" s="51" t="s">
        <v>481</v>
      </c>
      <c r="C22" s="37">
        <v>232000</v>
      </c>
      <c r="D22" s="38"/>
      <c r="E22" s="37"/>
    </row>
    <row r="23" spans="1:5">
      <c r="A23" s="35">
        <v>5</v>
      </c>
      <c r="B23" s="51" t="s">
        <v>482</v>
      </c>
      <c r="C23" s="37">
        <v>0</v>
      </c>
      <c r="D23" s="38"/>
      <c r="E23" s="37"/>
    </row>
    <row r="24" spans="1:5">
      <c r="A24" s="35">
        <v>6</v>
      </c>
      <c r="B24" s="51" t="s">
        <v>483</v>
      </c>
      <c r="C24" s="37">
        <v>0</v>
      </c>
      <c r="D24" s="38"/>
      <c r="E24" s="37"/>
    </row>
    <row r="25" spans="1:5">
      <c r="A25" s="35">
        <v>7</v>
      </c>
      <c r="B25" s="51" t="s">
        <v>484</v>
      </c>
      <c r="C25" s="37">
        <v>6800</v>
      </c>
      <c r="D25" s="38"/>
      <c r="E25" s="37"/>
    </row>
    <row r="26" spans="1:5">
      <c r="A26" s="35">
        <v>8</v>
      </c>
      <c r="B26" s="51" t="s">
        <v>485</v>
      </c>
      <c r="C26" s="37">
        <v>779000</v>
      </c>
      <c r="D26" s="38"/>
      <c r="E26" s="37"/>
    </row>
    <row r="27" spans="1:5">
      <c r="A27" s="35"/>
      <c r="B27" s="51"/>
      <c r="C27" s="37"/>
      <c r="D27" s="38"/>
      <c r="E27" s="37"/>
    </row>
    <row r="28" spans="1:5">
      <c r="A28" s="35"/>
      <c r="B28" s="51"/>
      <c r="C28" s="37"/>
      <c r="D28" s="38"/>
      <c r="E28" s="37"/>
    </row>
    <row r="29" spans="1:5">
      <c r="A29" s="35"/>
      <c r="B29" s="51"/>
      <c r="C29" s="37"/>
      <c r="D29" s="38"/>
      <c r="E29" s="37"/>
    </row>
    <row r="30" spans="1:5">
      <c r="A30" s="35"/>
      <c r="B30" s="51"/>
      <c r="C30" s="37"/>
      <c r="D30" s="38"/>
      <c r="E30" s="37"/>
    </row>
    <row r="31" spans="1:5">
      <c r="A31" s="35"/>
      <c r="B31" s="51"/>
      <c r="C31" s="37"/>
      <c r="D31" s="38"/>
      <c r="E31" s="37"/>
    </row>
    <row r="32" spans="1:5">
      <c r="A32" s="35"/>
      <c r="B32" s="51"/>
      <c r="C32" s="37"/>
      <c r="D32" s="38"/>
      <c r="E32" s="37"/>
    </row>
    <row r="33" spans="1:5" ht="24" thickBot="1">
      <c r="A33" s="334" t="s">
        <v>9</v>
      </c>
      <c r="B33" s="335"/>
      <c r="C33" s="261">
        <f>SUM(C11:C32)</f>
        <v>7190400</v>
      </c>
      <c r="D33" s="262"/>
      <c r="E33" s="261">
        <f>+E10</f>
        <v>7190400</v>
      </c>
    </row>
    <row r="34" spans="1:5" ht="23.25" thickTop="1">
      <c r="A34" s="22"/>
      <c r="B34" s="22"/>
      <c r="C34" s="168"/>
      <c r="D34" s="168"/>
      <c r="E34" s="168"/>
    </row>
    <row r="35" spans="1:5">
      <c r="A35" s="22"/>
      <c r="B35" s="22"/>
      <c r="C35" s="168"/>
      <c r="D35" s="168"/>
      <c r="E35" s="168"/>
    </row>
    <row r="36" spans="1:5">
      <c r="A36" s="22"/>
      <c r="B36" s="22"/>
      <c r="C36" s="168"/>
      <c r="D36" s="168"/>
      <c r="E36" s="168"/>
    </row>
    <row r="37" spans="1:5">
      <c r="A37" s="22" t="s">
        <v>486</v>
      </c>
      <c r="B37" s="22"/>
      <c r="C37" s="22"/>
      <c r="D37" s="168"/>
      <c r="E37" s="168"/>
    </row>
    <row r="38" spans="1:5">
      <c r="A38" s="22" t="s">
        <v>487</v>
      </c>
      <c r="B38" s="22"/>
      <c r="C38" s="22"/>
      <c r="D38" s="168"/>
      <c r="E38" s="168"/>
    </row>
  </sheetData>
  <mergeCells count="7">
    <mergeCell ref="A7:B7"/>
    <mergeCell ref="D7:E7"/>
    <mergeCell ref="A33:B33"/>
    <mergeCell ref="A1:E1"/>
    <mergeCell ref="A3:E3"/>
    <mergeCell ref="A4:E4"/>
    <mergeCell ref="A5:E5"/>
  </mergeCells>
  <pageMargins left="0.7" right="0.7" top="0.75" bottom="0.75" header="0.3" footer="0.3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A8" sqref="A8:A9"/>
    </sheetView>
  </sheetViews>
  <sheetFormatPr defaultColWidth="23.25" defaultRowHeight="22.5"/>
  <cols>
    <col min="1" max="1" width="29.125" style="22" customWidth="1"/>
    <col min="2" max="2" width="15.25" style="225" customWidth="1"/>
    <col min="3" max="3" width="13.625" style="225" customWidth="1"/>
    <col min="4" max="4" width="12.875" style="225" customWidth="1"/>
    <col min="5" max="5" width="13.625" style="225" customWidth="1"/>
    <col min="6" max="16384" width="23.25" style="22"/>
  </cols>
  <sheetData>
    <row r="1" spans="1:5" ht="23.25">
      <c r="A1" s="337" t="s">
        <v>339</v>
      </c>
      <c r="B1" s="337"/>
      <c r="C1" s="337"/>
      <c r="D1" s="337"/>
      <c r="E1" s="337"/>
    </row>
    <row r="2" spans="1:5" ht="23.25">
      <c r="A2" s="337" t="s">
        <v>441</v>
      </c>
      <c r="B2" s="337"/>
      <c r="C2" s="337"/>
      <c r="D2" s="337"/>
      <c r="E2" s="337"/>
    </row>
    <row r="3" spans="1:5" ht="23.25">
      <c r="A3" s="337" t="s">
        <v>457</v>
      </c>
      <c r="B3" s="337"/>
      <c r="C3" s="337"/>
      <c r="D3" s="337"/>
      <c r="E3" s="337"/>
    </row>
    <row r="5" spans="1:5">
      <c r="A5" s="186" t="s">
        <v>458</v>
      </c>
      <c r="B5" s="226" t="s">
        <v>443</v>
      </c>
      <c r="C5" s="227" t="s">
        <v>444</v>
      </c>
      <c r="D5" s="226" t="s">
        <v>445</v>
      </c>
      <c r="E5" s="228" t="s">
        <v>446</v>
      </c>
    </row>
    <row r="6" spans="1:5">
      <c r="A6" s="185"/>
      <c r="B6" s="229"/>
      <c r="C6" s="230"/>
      <c r="D6" s="229"/>
      <c r="E6" s="231"/>
    </row>
    <row r="7" spans="1:5" ht="23.25">
      <c r="A7" s="222" t="s">
        <v>447</v>
      </c>
      <c r="B7" s="236">
        <v>1598202</v>
      </c>
      <c r="C7" s="155">
        <v>0</v>
      </c>
      <c r="D7" s="144">
        <v>0</v>
      </c>
      <c r="E7" s="237">
        <f>+B7+C14-D14</f>
        <v>5969702</v>
      </c>
    </row>
    <row r="8" spans="1:5">
      <c r="A8" s="223" t="s">
        <v>468</v>
      </c>
      <c r="B8" s="144">
        <v>0</v>
      </c>
      <c r="C8" s="155">
        <v>0</v>
      </c>
      <c r="D8" s="144">
        <v>0</v>
      </c>
      <c r="E8" s="232">
        <f>+B8+C8-D8</f>
        <v>0</v>
      </c>
    </row>
    <row r="9" spans="1:5">
      <c r="A9" s="35" t="s">
        <v>469</v>
      </c>
      <c r="B9" s="144">
        <v>0</v>
      </c>
      <c r="C9" s="155">
        <f>400000</f>
        <v>400000</v>
      </c>
      <c r="D9" s="144">
        <v>0</v>
      </c>
      <c r="E9" s="232">
        <f>+B9+C9-D9</f>
        <v>400000</v>
      </c>
    </row>
    <row r="10" spans="1:5">
      <c r="A10" s="35" t="s">
        <v>459</v>
      </c>
      <c r="B10" s="144"/>
      <c r="C10" s="155">
        <f>780000+1799000+780000</f>
        <v>3359000</v>
      </c>
      <c r="D10" s="144">
        <v>0</v>
      </c>
      <c r="E10" s="232">
        <f t="shared" ref="E10:E12" si="0">+B10+C10-D10</f>
        <v>3359000</v>
      </c>
    </row>
    <row r="11" spans="1:5">
      <c r="A11" s="35" t="s">
        <v>460</v>
      </c>
      <c r="B11" s="144"/>
      <c r="C11" s="155">
        <f>597000</f>
        <v>597000</v>
      </c>
      <c r="D11" s="144">
        <v>0</v>
      </c>
      <c r="E11" s="232">
        <f t="shared" si="0"/>
        <v>597000</v>
      </c>
    </row>
    <row r="12" spans="1:5">
      <c r="A12" s="35" t="s">
        <v>461</v>
      </c>
      <c r="B12" s="144"/>
      <c r="C12" s="155">
        <f>15500</f>
        <v>15500</v>
      </c>
      <c r="D12" s="144">
        <v>0</v>
      </c>
      <c r="E12" s="232">
        <f t="shared" si="0"/>
        <v>15500</v>
      </c>
    </row>
    <row r="13" spans="1:5">
      <c r="A13" s="35"/>
      <c r="B13" s="144"/>
      <c r="C13" s="155"/>
      <c r="D13" s="144"/>
      <c r="E13" s="232"/>
    </row>
    <row r="14" spans="1:5" ht="23.25" thickBot="1">
      <c r="A14" s="35"/>
      <c r="B14" s="239"/>
      <c r="C14" s="240">
        <f>SUM(C8:C13)</f>
        <v>4371500</v>
      </c>
      <c r="D14" s="239">
        <f t="shared" ref="D14" si="1">SUM(D8:D13)</f>
        <v>0</v>
      </c>
      <c r="E14" s="239"/>
    </row>
    <row r="15" spans="1:5" ht="23.25" thickTop="1">
      <c r="A15" s="35"/>
      <c r="B15" s="144"/>
      <c r="C15" s="155"/>
      <c r="D15" s="144"/>
      <c r="E15" s="232"/>
    </row>
    <row r="16" spans="1:5" ht="23.25">
      <c r="A16" s="222" t="s">
        <v>448</v>
      </c>
      <c r="B16" s="236">
        <v>1697255</v>
      </c>
      <c r="C16" s="155"/>
      <c r="D16" s="144"/>
      <c r="E16" s="237">
        <f>+B16+C26-D26</f>
        <v>2646755</v>
      </c>
    </row>
    <row r="17" spans="1:6">
      <c r="A17" s="223" t="s">
        <v>449</v>
      </c>
      <c r="B17" s="144">
        <v>0</v>
      </c>
      <c r="C17" s="155">
        <f>8800+63500+3200</f>
        <v>75500</v>
      </c>
      <c r="D17" s="144">
        <v>0</v>
      </c>
      <c r="E17" s="232">
        <f>+B17+C17-D17</f>
        <v>75500</v>
      </c>
      <c r="F17" s="238"/>
    </row>
    <row r="18" spans="1:6">
      <c r="A18" s="223" t="s">
        <v>450</v>
      </c>
      <c r="B18" s="144">
        <v>0</v>
      </c>
      <c r="C18" s="155">
        <v>0</v>
      </c>
      <c r="D18" s="144">
        <v>0</v>
      </c>
      <c r="E18" s="232">
        <f t="shared" ref="E18:E24" si="2">+B18+C18-D18</f>
        <v>0</v>
      </c>
    </row>
    <row r="19" spans="1:6">
      <c r="A19" s="223" t="s">
        <v>451</v>
      </c>
      <c r="B19" s="144">
        <v>0</v>
      </c>
      <c r="C19" s="155">
        <f>38500+41500+15000</f>
        <v>95000</v>
      </c>
      <c r="D19" s="144">
        <v>0</v>
      </c>
      <c r="E19" s="232">
        <f t="shared" si="2"/>
        <v>95000</v>
      </c>
    </row>
    <row r="20" spans="1:6">
      <c r="A20" s="223" t="s">
        <v>452</v>
      </c>
      <c r="B20" s="144">
        <v>0</v>
      </c>
      <c r="C20" s="155">
        <v>0</v>
      </c>
      <c r="D20" s="144">
        <v>0</v>
      </c>
      <c r="E20" s="232">
        <f t="shared" si="2"/>
        <v>0</v>
      </c>
    </row>
    <row r="21" spans="1:6">
      <c r="A21" s="223" t="s">
        <v>453</v>
      </c>
      <c r="B21" s="144">
        <v>0</v>
      </c>
      <c r="C21" s="155">
        <v>0</v>
      </c>
      <c r="D21" s="144">
        <v>0</v>
      </c>
      <c r="E21" s="232">
        <f t="shared" si="2"/>
        <v>0</v>
      </c>
    </row>
    <row r="22" spans="1:6">
      <c r="A22" s="223" t="s">
        <v>454</v>
      </c>
      <c r="B22" s="144">
        <v>0</v>
      </c>
      <c r="C22" s="155">
        <v>0</v>
      </c>
      <c r="D22" s="144">
        <v>0</v>
      </c>
      <c r="E22" s="232">
        <f t="shared" si="2"/>
        <v>0</v>
      </c>
    </row>
    <row r="23" spans="1:6">
      <c r="A23" s="223" t="s">
        <v>455</v>
      </c>
      <c r="B23" s="144">
        <v>0</v>
      </c>
      <c r="C23" s="155">
        <v>0</v>
      </c>
      <c r="D23" s="144">
        <v>0</v>
      </c>
      <c r="E23" s="232">
        <f t="shared" si="2"/>
        <v>0</v>
      </c>
    </row>
    <row r="24" spans="1:6">
      <c r="A24" s="223" t="s">
        <v>456</v>
      </c>
      <c r="B24" s="144">
        <v>0</v>
      </c>
      <c r="C24" s="155">
        <v>779000</v>
      </c>
      <c r="D24" s="144">
        <v>0</v>
      </c>
      <c r="E24" s="232">
        <f t="shared" si="2"/>
        <v>779000</v>
      </c>
    </row>
    <row r="25" spans="1:6">
      <c r="A25" s="223"/>
      <c r="B25" s="144"/>
      <c r="C25" s="155"/>
      <c r="D25" s="144"/>
      <c r="E25" s="232"/>
    </row>
    <row r="26" spans="1:6" ht="23.25" thickBot="1">
      <c r="A26" s="223"/>
      <c r="B26" s="239"/>
      <c r="C26" s="240">
        <f>SUM(C17:C25)</f>
        <v>949500</v>
      </c>
      <c r="D26" s="239">
        <f>SUM(D17:D25)</f>
        <v>0</v>
      </c>
      <c r="E26" s="241"/>
    </row>
    <row r="27" spans="1:6" ht="23.25" thickTop="1">
      <c r="A27" s="35"/>
      <c r="B27" s="144"/>
      <c r="C27" s="155"/>
      <c r="D27" s="144"/>
      <c r="E27" s="232"/>
    </row>
    <row r="28" spans="1:6" ht="24" thickBot="1">
      <c r="A28" s="224" t="s">
        <v>9</v>
      </c>
      <c r="B28" s="233">
        <f>SUM(B7:B27)</f>
        <v>3295457</v>
      </c>
      <c r="C28" s="234">
        <f>SUM(C14+C26)</f>
        <v>5321000</v>
      </c>
      <c r="D28" s="233">
        <f>SUM(D8:D27)</f>
        <v>0</v>
      </c>
      <c r="E28" s="235">
        <f>+B28+C28-D28</f>
        <v>8616457</v>
      </c>
    </row>
    <row r="29" spans="1:6" ht="23.25" thickTop="1"/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sqref="A1:E33"/>
    </sheetView>
  </sheetViews>
  <sheetFormatPr defaultColWidth="23.25" defaultRowHeight="22.5"/>
  <cols>
    <col min="1" max="1" width="27" style="22" customWidth="1"/>
    <col min="2" max="2" width="15.5" style="225" customWidth="1"/>
    <col min="3" max="5" width="13.75" style="225" customWidth="1"/>
    <col min="6" max="16384" width="23.25" style="22"/>
  </cols>
  <sheetData>
    <row r="1" spans="1:6" ht="23.25">
      <c r="A1" s="337" t="s">
        <v>339</v>
      </c>
      <c r="B1" s="337"/>
      <c r="C1" s="337"/>
      <c r="D1" s="337"/>
      <c r="E1" s="337"/>
    </row>
    <row r="2" spans="1:6" ht="23.25">
      <c r="A2" s="337" t="s">
        <v>441</v>
      </c>
      <c r="B2" s="337"/>
      <c r="C2" s="337"/>
      <c r="D2" s="337"/>
      <c r="E2" s="337"/>
    </row>
    <row r="3" spans="1:6" ht="23.25">
      <c r="A3" s="337" t="s">
        <v>248</v>
      </c>
      <c r="B3" s="337"/>
      <c r="C3" s="337"/>
      <c r="D3" s="337"/>
      <c r="E3" s="337"/>
    </row>
    <row r="5" spans="1:6">
      <c r="A5" s="186" t="s">
        <v>458</v>
      </c>
      <c r="B5" s="226" t="s">
        <v>443</v>
      </c>
      <c r="C5" s="227" t="s">
        <v>444</v>
      </c>
      <c r="D5" s="226" t="s">
        <v>445</v>
      </c>
      <c r="E5" s="228" t="s">
        <v>446</v>
      </c>
    </row>
    <row r="6" spans="1:6">
      <c r="A6" s="185"/>
      <c r="B6" s="229"/>
      <c r="C6" s="230"/>
      <c r="D6" s="229"/>
      <c r="E6" s="231"/>
    </row>
    <row r="7" spans="1:6" ht="23.25">
      <c r="A7" s="222" t="s">
        <v>447</v>
      </c>
      <c r="B7" s="236">
        <f>+ทรัพย์สิน50!E7</f>
        <v>5969702</v>
      </c>
      <c r="C7" s="155">
        <v>0</v>
      </c>
      <c r="D7" s="144">
        <v>0</v>
      </c>
      <c r="E7" s="237">
        <f>+B7+C14-D14</f>
        <v>7421202</v>
      </c>
    </row>
    <row r="8" spans="1:6">
      <c r="A8" s="223" t="s">
        <v>468</v>
      </c>
      <c r="B8" s="144">
        <f>+ทรัพย์สิน50!E8</f>
        <v>0</v>
      </c>
      <c r="C8" s="155">
        <v>0</v>
      </c>
      <c r="D8" s="144">
        <v>0</v>
      </c>
      <c r="E8" s="232">
        <f>+B8+C8-D8</f>
        <v>0</v>
      </c>
    </row>
    <row r="9" spans="1:6">
      <c r="A9" s="35" t="s">
        <v>469</v>
      </c>
      <c r="B9" s="144">
        <f>+ทรัพย์สิน50!E9</f>
        <v>400000</v>
      </c>
      <c r="C9" s="155"/>
      <c r="D9" s="144">
        <v>0</v>
      </c>
      <c r="E9" s="232">
        <f>+B9+C9-D9</f>
        <v>400000</v>
      </c>
    </row>
    <row r="10" spans="1:6">
      <c r="A10" s="35" t="s">
        <v>459</v>
      </c>
      <c r="B10" s="144">
        <f>+ทรัพย์สิน50!E10</f>
        <v>3359000</v>
      </c>
      <c r="C10" s="155">
        <f>1040000</f>
        <v>1040000</v>
      </c>
      <c r="D10" s="144">
        <v>0</v>
      </c>
      <c r="E10" s="232">
        <f t="shared" ref="E10:E13" si="0">+B10+C10-D10</f>
        <v>4399000</v>
      </c>
    </row>
    <row r="11" spans="1:6">
      <c r="A11" s="35" t="s">
        <v>460</v>
      </c>
      <c r="B11" s="144">
        <f>+ทรัพย์สิน50!E11</f>
        <v>597000</v>
      </c>
      <c r="C11" s="155"/>
      <c r="D11" s="144">
        <v>0</v>
      </c>
      <c r="E11" s="232">
        <f t="shared" si="0"/>
        <v>597000</v>
      </c>
    </row>
    <row r="12" spans="1:6">
      <c r="A12" s="35" t="s">
        <v>461</v>
      </c>
      <c r="B12" s="144">
        <f>+ทรัพย์สิน50!E12</f>
        <v>15500</v>
      </c>
      <c r="C12" s="155"/>
      <c r="D12" s="144">
        <v>0</v>
      </c>
      <c r="E12" s="232">
        <f t="shared" si="0"/>
        <v>15500</v>
      </c>
    </row>
    <row r="13" spans="1:6">
      <c r="A13" s="35" t="s">
        <v>462</v>
      </c>
      <c r="B13" s="144">
        <v>0</v>
      </c>
      <c r="C13" s="155">
        <v>411500</v>
      </c>
      <c r="D13" s="144">
        <v>0</v>
      </c>
      <c r="E13" s="232">
        <f t="shared" si="0"/>
        <v>411500</v>
      </c>
    </row>
    <row r="14" spans="1:6" ht="23.25" thickBot="1">
      <c r="A14" s="35"/>
      <c r="B14" s="239"/>
      <c r="C14" s="240">
        <f>SUM(C8:C13)</f>
        <v>1451500</v>
      </c>
      <c r="D14" s="239">
        <f>SUM(D8:D13)</f>
        <v>0</v>
      </c>
      <c r="E14" s="239"/>
    </row>
    <row r="15" spans="1:6" ht="23.25" thickTop="1">
      <c r="A15" s="35"/>
      <c r="B15" s="144"/>
      <c r="C15" s="155"/>
      <c r="D15" s="144"/>
      <c r="E15" s="232"/>
      <c r="F15" s="238"/>
    </row>
    <row r="16" spans="1:6" ht="23.25">
      <c r="A16" s="222" t="s">
        <v>448</v>
      </c>
      <c r="B16" s="236">
        <f>+ทรัพย์สิน50!E16</f>
        <v>2646755</v>
      </c>
      <c r="C16" s="155"/>
      <c r="D16" s="144"/>
      <c r="E16" s="237">
        <f>+B16+C25-D25</f>
        <v>3064655</v>
      </c>
    </row>
    <row r="17" spans="1:6">
      <c r="A17" s="223" t="s">
        <v>449</v>
      </c>
      <c r="B17" s="144">
        <f>+ทรัพย์สิน50!E17</f>
        <v>75500</v>
      </c>
      <c r="C17" s="155">
        <f>4200+1500+4200+1500+6000+8400+15000</f>
        <v>40800</v>
      </c>
      <c r="D17" s="144">
        <v>0</v>
      </c>
      <c r="E17" s="232">
        <f>+B17+C17-D17</f>
        <v>116300</v>
      </c>
    </row>
    <row r="18" spans="1:6">
      <c r="A18" s="223" t="s">
        <v>450</v>
      </c>
      <c r="B18" s="144">
        <f>+ทรัพย์สิน50!E18</f>
        <v>0</v>
      </c>
      <c r="C18" s="155">
        <f>99800</f>
        <v>99800</v>
      </c>
      <c r="D18" s="144">
        <v>0</v>
      </c>
      <c r="E18" s="232">
        <f t="shared" ref="E18:E24" si="1">+B18+C18-D18</f>
        <v>99800</v>
      </c>
    </row>
    <row r="19" spans="1:6">
      <c r="A19" s="223" t="s">
        <v>451</v>
      </c>
      <c r="B19" s="144">
        <f>+ทรัพย์สิน50!E19</f>
        <v>95000</v>
      </c>
      <c r="C19" s="155">
        <f>38500</f>
        <v>38500</v>
      </c>
      <c r="D19" s="144">
        <v>0</v>
      </c>
      <c r="E19" s="232">
        <f t="shared" si="1"/>
        <v>133500</v>
      </c>
    </row>
    <row r="20" spans="1:6">
      <c r="A20" s="223" t="s">
        <v>452</v>
      </c>
      <c r="B20" s="144">
        <f>+ทรัพย์สิน50!E20</f>
        <v>0</v>
      </c>
      <c r="C20" s="155">
        <f>232000</f>
        <v>232000</v>
      </c>
      <c r="D20" s="144">
        <v>0</v>
      </c>
      <c r="E20" s="232">
        <f t="shared" si="1"/>
        <v>232000</v>
      </c>
    </row>
    <row r="21" spans="1:6">
      <c r="A21" s="223" t="s">
        <v>453</v>
      </c>
      <c r="B21" s="144">
        <f>+ทรัพย์สิน50!E21</f>
        <v>0</v>
      </c>
      <c r="C21" s="155">
        <v>0</v>
      </c>
      <c r="D21" s="144">
        <v>0</v>
      </c>
      <c r="E21" s="232">
        <f t="shared" si="1"/>
        <v>0</v>
      </c>
    </row>
    <row r="22" spans="1:6">
      <c r="A22" s="223" t="s">
        <v>454</v>
      </c>
      <c r="B22" s="144">
        <f>+ทรัพย์สิน50!E22</f>
        <v>0</v>
      </c>
      <c r="C22" s="155">
        <v>0</v>
      </c>
      <c r="D22" s="144">
        <v>0</v>
      </c>
      <c r="E22" s="232">
        <f t="shared" si="1"/>
        <v>0</v>
      </c>
    </row>
    <row r="23" spans="1:6">
      <c r="A23" s="223" t="s">
        <v>455</v>
      </c>
      <c r="B23" s="144">
        <f>+ทรัพย์สิน50!E23</f>
        <v>0</v>
      </c>
      <c r="C23" s="155">
        <f>6800</f>
        <v>6800</v>
      </c>
      <c r="D23" s="144">
        <v>0</v>
      </c>
      <c r="E23" s="232">
        <f t="shared" si="1"/>
        <v>6800</v>
      </c>
    </row>
    <row r="24" spans="1:6">
      <c r="A24" s="223" t="s">
        <v>456</v>
      </c>
      <c r="B24" s="144">
        <f>+ทรัพย์สิน50!E24</f>
        <v>779000</v>
      </c>
      <c r="C24" s="155">
        <v>0</v>
      </c>
      <c r="D24" s="144">
        <v>0</v>
      </c>
      <c r="E24" s="232">
        <f t="shared" si="1"/>
        <v>779000</v>
      </c>
    </row>
    <row r="25" spans="1:6" ht="23.25" thickBot="1">
      <c r="A25" s="223"/>
      <c r="B25" s="239"/>
      <c r="C25" s="240">
        <f>SUM(C17:C24)</f>
        <v>417900</v>
      </c>
      <c r="D25" s="239">
        <f>SUM(D17:D24)</f>
        <v>0</v>
      </c>
      <c r="E25" s="241"/>
      <c r="F25" s="238">
        <f>+E7+E16</f>
        <v>10485857</v>
      </c>
    </row>
    <row r="26" spans="1:6" ht="23.25" thickTop="1">
      <c r="A26" s="35"/>
      <c r="B26" s="144"/>
      <c r="C26" s="155"/>
      <c r="D26" s="144"/>
      <c r="E26" s="232"/>
    </row>
    <row r="27" spans="1:6" ht="24" thickBot="1">
      <c r="A27" s="224" t="s">
        <v>9</v>
      </c>
      <c r="B27" s="233">
        <f>+ทรัพย์สิน50!E28</f>
        <v>8616457</v>
      </c>
      <c r="C27" s="234">
        <f>SUM(C14+C25)</f>
        <v>1869400</v>
      </c>
      <c r="D27" s="233">
        <f>SUM(D8:D26)</f>
        <v>0</v>
      </c>
      <c r="E27" s="235">
        <f>+B27+C27-D27</f>
        <v>10485857</v>
      </c>
    </row>
    <row r="28" spans="1:6" s="51" customFormat="1" ht="23.25" thickTop="1">
      <c r="A28" s="242"/>
      <c r="B28" s="155"/>
      <c r="C28" s="155"/>
      <c r="D28" s="155"/>
      <c r="E28" s="155"/>
    </row>
    <row r="29" spans="1:6" s="51" customFormat="1">
      <c r="B29" s="155"/>
      <c r="C29" s="155"/>
      <c r="D29" s="155"/>
      <c r="E29" s="155"/>
    </row>
    <row r="30" spans="1:6" s="51" customFormat="1">
      <c r="B30" s="155"/>
      <c r="C30" s="155"/>
      <c r="D30" s="155"/>
      <c r="E30" s="155"/>
    </row>
    <row r="31" spans="1:6" s="51" customFormat="1">
      <c r="B31" s="155"/>
      <c r="C31" s="155"/>
      <c r="D31" s="155"/>
      <c r="E31" s="155"/>
      <c r="F31" s="204"/>
    </row>
    <row r="32" spans="1:6" s="51" customFormat="1">
      <c r="B32" s="155"/>
      <c r="C32" s="155"/>
      <c r="D32" s="155"/>
      <c r="E32" s="155"/>
    </row>
    <row r="33" spans="1:5" s="51" customFormat="1" ht="23.25">
      <c r="A33" s="243"/>
      <c r="B33" s="244"/>
      <c r="C33" s="244"/>
      <c r="D33" s="244"/>
      <c r="E33" s="2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5"/>
  <sheetViews>
    <sheetView topLeftCell="A4" workbookViewId="0">
      <selection activeCell="D9" sqref="D9"/>
    </sheetView>
  </sheetViews>
  <sheetFormatPr defaultColWidth="23.25" defaultRowHeight="22.5"/>
  <cols>
    <col min="1" max="1" width="27" style="22" customWidth="1"/>
    <col min="2" max="2" width="15.75" style="225" customWidth="1"/>
    <col min="3" max="4" width="13.875" style="225" customWidth="1"/>
    <col min="5" max="5" width="14.25" style="225" customWidth="1"/>
    <col min="6" max="16384" width="23.25" style="22"/>
  </cols>
  <sheetData>
    <row r="1" spans="1:6" ht="23.25">
      <c r="A1" s="337" t="s">
        <v>339</v>
      </c>
      <c r="B1" s="337"/>
      <c r="C1" s="337"/>
      <c r="D1" s="337"/>
      <c r="E1" s="337"/>
    </row>
    <row r="2" spans="1:6" ht="23.25">
      <c r="A2" s="337" t="s">
        <v>441</v>
      </c>
      <c r="B2" s="337"/>
      <c r="C2" s="337"/>
      <c r="D2" s="337"/>
      <c r="E2" s="337"/>
    </row>
    <row r="3" spans="1:6" ht="23.25">
      <c r="A3" s="337" t="s">
        <v>463</v>
      </c>
      <c r="B3" s="337"/>
      <c r="C3" s="337"/>
      <c r="D3" s="337"/>
      <c r="E3" s="337"/>
    </row>
    <row r="4" spans="1:6">
      <c r="A4" s="186" t="s">
        <v>458</v>
      </c>
      <c r="B4" s="226" t="s">
        <v>443</v>
      </c>
      <c r="C4" s="227" t="s">
        <v>444</v>
      </c>
      <c r="D4" s="226" t="s">
        <v>445</v>
      </c>
      <c r="E4" s="228" t="s">
        <v>446</v>
      </c>
    </row>
    <row r="5" spans="1:6">
      <c r="A5" s="185"/>
      <c r="B5" s="229"/>
      <c r="C5" s="230"/>
      <c r="D5" s="229"/>
      <c r="E5" s="231"/>
    </row>
    <row r="6" spans="1:6" ht="23.25">
      <c r="A6" s="222" t="s">
        <v>447</v>
      </c>
      <c r="B6" s="236">
        <f>+ทรัพย์สิน51!E7</f>
        <v>7421202</v>
      </c>
      <c r="C6" s="155">
        <v>0</v>
      </c>
      <c r="D6" s="144">
        <v>0</v>
      </c>
      <c r="E6" s="237">
        <f>+B6+C15-D15</f>
        <v>8538277</v>
      </c>
    </row>
    <row r="7" spans="1:6">
      <c r="A7" s="223" t="s">
        <v>468</v>
      </c>
      <c r="B7" s="144">
        <f>+ทรัพย์สิน51!E8</f>
        <v>0</v>
      </c>
      <c r="C7" s="155">
        <f>435900</f>
        <v>435900</v>
      </c>
      <c r="D7" s="144">
        <v>0</v>
      </c>
      <c r="E7" s="232">
        <f>+B7+C7-D7</f>
        <v>435900</v>
      </c>
    </row>
    <row r="8" spans="1:6">
      <c r="A8" s="35" t="s">
        <v>469</v>
      </c>
      <c r="B8" s="144">
        <f>+ทรัพย์สิน50!E9</f>
        <v>400000</v>
      </c>
      <c r="C8" s="155">
        <v>0</v>
      </c>
      <c r="D8" s="144">
        <v>0</v>
      </c>
      <c r="E8" s="232">
        <f>+B8+C8-D8</f>
        <v>400000</v>
      </c>
    </row>
    <row r="9" spans="1:6">
      <c r="A9" s="35" t="s">
        <v>459</v>
      </c>
      <c r="B9" s="144">
        <f>+ทรัพย์สิน51!E10</f>
        <v>4399000</v>
      </c>
      <c r="C9" s="155">
        <v>0</v>
      </c>
      <c r="D9" s="144">
        <v>0</v>
      </c>
      <c r="E9" s="232">
        <f t="shared" ref="E9:E14" si="0">+B9+C9-D9</f>
        <v>4399000</v>
      </c>
    </row>
    <row r="10" spans="1:6">
      <c r="A10" s="35" t="s">
        <v>460</v>
      </c>
      <c r="B10" s="144">
        <f>+ทรัพย์สิน51!E11</f>
        <v>597000</v>
      </c>
      <c r="C10" s="155">
        <v>0</v>
      </c>
      <c r="D10" s="144">
        <v>0</v>
      </c>
      <c r="E10" s="232">
        <f t="shared" si="0"/>
        <v>597000</v>
      </c>
    </row>
    <row r="11" spans="1:6">
      <c r="A11" s="35" t="s">
        <v>461</v>
      </c>
      <c r="B11" s="144">
        <f>+ทรัพย์สิน51!E12</f>
        <v>15500</v>
      </c>
      <c r="C11" s="155">
        <v>0</v>
      </c>
      <c r="D11" s="144">
        <v>0</v>
      </c>
      <c r="E11" s="232">
        <f t="shared" si="0"/>
        <v>15500</v>
      </c>
    </row>
    <row r="12" spans="1:6">
      <c r="A12" s="35" t="s">
        <v>462</v>
      </c>
      <c r="B12" s="144">
        <f>+ทรัพย์สิน51!E13</f>
        <v>411500</v>
      </c>
      <c r="C12" s="155">
        <v>0</v>
      </c>
      <c r="D12" s="144">
        <v>0</v>
      </c>
      <c r="E12" s="232">
        <f t="shared" si="0"/>
        <v>411500</v>
      </c>
    </row>
    <row r="13" spans="1:6">
      <c r="A13" s="35" t="s">
        <v>464</v>
      </c>
      <c r="B13" s="144">
        <v>0</v>
      </c>
      <c r="C13" s="155">
        <v>411000</v>
      </c>
      <c r="D13" s="144">
        <v>0</v>
      </c>
      <c r="E13" s="232">
        <f t="shared" si="0"/>
        <v>411000</v>
      </c>
    </row>
    <row r="14" spans="1:6">
      <c r="A14" s="35" t="s">
        <v>465</v>
      </c>
      <c r="B14" s="144">
        <v>0</v>
      </c>
      <c r="C14" s="155">
        <v>270175</v>
      </c>
      <c r="D14" s="144">
        <v>0</v>
      </c>
      <c r="E14" s="232">
        <f t="shared" si="0"/>
        <v>270175</v>
      </c>
    </row>
    <row r="15" spans="1:6" ht="23.25" thickBot="1">
      <c r="A15" s="35"/>
      <c r="B15" s="239"/>
      <c r="C15" s="240">
        <f>SUM(C7:C14)</f>
        <v>1117075</v>
      </c>
      <c r="D15" s="239">
        <f>SUM(D7:D14)</f>
        <v>0</v>
      </c>
      <c r="E15" s="239"/>
    </row>
    <row r="16" spans="1:6" ht="23.25" thickTop="1">
      <c r="A16" s="35"/>
      <c r="B16" s="144"/>
      <c r="C16" s="155"/>
      <c r="D16" s="144"/>
      <c r="E16" s="232"/>
      <c r="F16" s="238"/>
    </row>
    <row r="17" spans="1:6" ht="23.25">
      <c r="A17" s="222" t="s">
        <v>448</v>
      </c>
      <c r="B17" s="236">
        <f>+ทรัพย์สิน51!E16</f>
        <v>3064655</v>
      </c>
      <c r="C17" s="155"/>
      <c r="D17" s="144"/>
      <c r="E17" s="237">
        <f>+B17+C27-D27</f>
        <v>3906355</v>
      </c>
    </row>
    <row r="18" spans="1:6">
      <c r="A18" s="223" t="s">
        <v>449</v>
      </c>
      <c r="B18" s="144">
        <f>+ทรัพย์สิน51!E17</f>
        <v>116300</v>
      </c>
      <c r="C18" s="155">
        <f>8400</f>
        <v>8400</v>
      </c>
      <c r="D18" s="144">
        <v>0</v>
      </c>
      <c r="E18" s="232">
        <f>+B18+C18-D18</f>
        <v>124700</v>
      </c>
    </row>
    <row r="19" spans="1:6">
      <c r="A19" s="223" t="s">
        <v>450</v>
      </c>
      <c r="B19" s="144">
        <f>+ทรัพย์สิน51!E18</f>
        <v>99800</v>
      </c>
      <c r="C19" s="155">
        <v>0</v>
      </c>
      <c r="D19" s="144">
        <v>0</v>
      </c>
      <c r="E19" s="232">
        <f t="shared" ref="E19:E26" si="1">+B19+C19-D19</f>
        <v>99800</v>
      </c>
    </row>
    <row r="20" spans="1:6">
      <c r="A20" s="223" t="s">
        <v>451</v>
      </c>
      <c r="B20" s="144">
        <f>+ทรัพย์สิน51!E19</f>
        <v>133500</v>
      </c>
      <c r="C20" s="155">
        <f>207000+46300+36000</f>
        <v>289300</v>
      </c>
      <c r="D20" s="144">
        <v>0</v>
      </c>
      <c r="E20" s="232">
        <f t="shared" si="1"/>
        <v>422800</v>
      </c>
    </row>
    <row r="21" spans="1:6">
      <c r="A21" s="223" t="s">
        <v>452</v>
      </c>
      <c r="B21" s="144">
        <f>+ทรัพย์สิน51!E20</f>
        <v>232000</v>
      </c>
      <c r="C21" s="155">
        <f>17600+99000</f>
        <v>116600</v>
      </c>
      <c r="D21" s="144">
        <v>0</v>
      </c>
      <c r="E21" s="232">
        <f t="shared" si="1"/>
        <v>348600</v>
      </c>
    </row>
    <row r="22" spans="1:6">
      <c r="A22" s="223" t="s">
        <v>453</v>
      </c>
      <c r="B22" s="144">
        <f>+ทรัพย์สิน51!E21</f>
        <v>0</v>
      </c>
      <c r="C22" s="155">
        <v>0</v>
      </c>
      <c r="D22" s="144">
        <v>0</v>
      </c>
      <c r="E22" s="232">
        <f t="shared" si="1"/>
        <v>0</v>
      </c>
    </row>
    <row r="23" spans="1:6">
      <c r="A23" s="223" t="s">
        <v>454</v>
      </c>
      <c r="B23" s="144">
        <f>+ทรัพย์สิน51!E22</f>
        <v>0</v>
      </c>
      <c r="C23" s="155">
        <f>85500+58000</f>
        <v>143500</v>
      </c>
      <c r="D23" s="144">
        <v>0</v>
      </c>
      <c r="E23" s="232">
        <f t="shared" si="1"/>
        <v>143500</v>
      </c>
    </row>
    <row r="24" spans="1:6">
      <c r="A24" s="223" t="s">
        <v>455</v>
      </c>
      <c r="B24" s="144">
        <f>+ทรัพย์สิน51!E23</f>
        <v>6800</v>
      </c>
      <c r="C24" s="155">
        <f>78900+6000</f>
        <v>84900</v>
      </c>
      <c r="D24" s="144">
        <v>0</v>
      </c>
      <c r="E24" s="232">
        <f t="shared" si="1"/>
        <v>91700</v>
      </c>
    </row>
    <row r="25" spans="1:6">
      <c r="A25" s="223" t="s">
        <v>456</v>
      </c>
      <c r="B25" s="144">
        <f>+ทรัพย์สิน51!E24</f>
        <v>779000</v>
      </c>
      <c r="C25" s="155">
        <v>0</v>
      </c>
      <c r="D25" s="144">
        <v>0</v>
      </c>
      <c r="E25" s="232">
        <f t="shared" si="1"/>
        <v>779000</v>
      </c>
    </row>
    <row r="26" spans="1:6">
      <c r="A26" s="223" t="s">
        <v>470</v>
      </c>
      <c r="B26" s="144">
        <v>0</v>
      </c>
      <c r="C26" s="155">
        <f>99500+99500</f>
        <v>199000</v>
      </c>
      <c r="D26" s="144">
        <v>0</v>
      </c>
      <c r="E26" s="232">
        <f t="shared" si="1"/>
        <v>199000</v>
      </c>
    </row>
    <row r="27" spans="1:6" ht="23.25" thickBot="1">
      <c r="A27" s="223"/>
      <c r="B27" s="239"/>
      <c r="C27" s="240">
        <f>SUM(C18:C26)</f>
        <v>841700</v>
      </c>
      <c r="D27" s="239">
        <f>SUM(D18:D26)</f>
        <v>0</v>
      </c>
      <c r="E27" s="241"/>
      <c r="F27" s="238">
        <f>+E6+E17</f>
        <v>12444632</v>
      </c>
    </row>
    <row r="28" spans="1:6" ht="23.25" thickTop="1">
      <c r="A28" s="35"/>
      <c r="B28" s="144"/>
      <c r="C28" s="155"/>
      <c r="D28" s="144"/>
      <c r="E28" s="232"/>
    </row>
    <row r="29" spans="1:6" ht="24" thickBot="1">
      <c r="A29" s="224" t="s">
        <v>9</v>
      </c>
      <c r="B29" s="233">
        <f>+ทรัพย์สิน51!E27</f>
        <v>10485857</v>
      </c>
      <c r="C29" s="234">
        <f>SUM(C15+C27)</f>
        <v>1958775</v>
      </c>
      <c r="D29" s="233">
        <f>SUM(D7:D28)</f>
        <v>0</v>
      </c>
      <c r="E29" s="235">
        <f>+B29+C29-D29</f>
        <v>12444632</v>
      </c>
    </row>
    <row r="30" spans="1:6" s="51" customFormat="1" ht="23.25" thickTop="1">
      <c r="A30" s="242"/>
      <c r="B30" s="155"/>
      <c r="C30" s="155"/>
      <c r="D30" s="155"/>
      <c r="E30" s="155"/>
    </row>
    <row r="31" spans="1:6" s="51" customFormat="1">
      <c r="B31" s="155"/>
      <c r="C31" s="155"/>
      <c r="D31" s="155"/>
      <c r="E31" s="155"/>
    </row>
    <row r="32" spans="1:6" s="51" customFormat="1">
      <c r="B32" s="155"/>
      <c r="C32" s="155"/>
      <c r="D32" s="155"/>
      <c r="E32" s="155"/>
    </row>
    <row r="33" spans="1:6" s="51" customFormat="1">
      <c r="B33" s="155"/>
      <c r="C33" s="155"/>
      <c r="D33" s="155"/>
      <c r="E33" s="155"/>
      <c r="F33" s="204"/>
    </row>
    <row r="34" spans="1:6" s="51" customFormat="1">
      <c r="B34" s="155"/>
      <c r="C34" s="155"/>
      <c r="D34" s="155"/>
      <c r="E34" s="155"/>
    </row>
    <row r="35" spans="1:6" s="51" customFormat="1" ht="23.25">
      <c r="A35" s="243"/>
      <c r="B35" s="244"/>
      <c r="C35" s="244"/>
      <c r="D35" s="244"/>
      <c r="E35" s="2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7"/>
  <sheetViews>
    <sheetView workbookViewId="0">
      <pane xSplit="1" topLeftCell="B1" activePane="topRight" state="frozen"/>
      <selection pane="topRight" activeCell="A23" sqref="A23:A28"/>
    </sheetView>
  </sheetViews>
  <sheetFormatPr defaultRowHeight="22.5"/>
  <cols>
    <col min="1" max="1" width="33.125" style="1" customWidth="1"/>
    <col min="2" max="7" width="14.625" style="1" customWidth="1"/>
    <col min="8" max="9" width="12.5" style="1" customWidth="1"/>
    <col min="10" max="11" width="11.375" style="1" customWidth="1"/>
    <col min="12" max="13" width="12.5" style="1" customWidth="1"/>
    <col min="14" max="15" width="12.625" style="1" customWidth="1"/>
    <col min="16" max="17" width="12.375" style="1" customWidth="1"/>
    <col min="18" max="19" width="11.25" style="1" customWidth="1"/>
    <col min="20" max="20" width="12.5" style="1" customWidth="1"/>
    <col min="21" max="21" width="12.375" style="1" customWidth="1"/>
    <col min="22" max="23" width="12.625" style="1" customWidth="1"/>
    <col min="24" max="25" width="12.375" style="1" customWidth="1"/>
    <col min="26" max="27" width="13.5" style="1" customWidth="1"/>
    <col min="28" max="16384" width="9" style="1"/>
  </cols>
  <sheetData>
    <row r="1" spans="1:27" ht="23.25">
      <c r="A1" s="20" t="s">
        <v>52</v>
      </c>
    </row>
    <row r="2" spans="1:27" ht="23.25">
      <c r="A2" s="20" t="s">
        <v>1</v>
      </c>
    </row>
    <row r="3" spans="1:27">
      <c r="A3" s="6" t="s">
        <v>2</v>
      </c>
      <c r="B3" s="306" t="s">
        <v>3</v>
      </c>
      <c r="C3" s="307"/>
      <c r="D3" s="306" t="s">
        <v>12</v>
      </c>
      <c r="E3" s="308"/>
      <c r="F3" s="306" t="s">
        <v>4</v>
      </c>
      <c r="G3" s="307"/>
      <c r="H3" s="306" t="s">
        <v>5</v>
      </c>
      <c r="I3" s="308"/>
      <c r="J3" s="306" t="s">
        <v>6</v>
      </c>
      <c r="K3" s="307"/>
      <c r="L3" s="306" t="s">
        <v>7</v>
      </c>
      <c r="M3" s="308"/>
      <c r="N3" s="306" t="s">
        <v>8</v>
      </c>
      <c r="O3" s="307"/>
      <c r="P3" s="306" t="s">
        <v>13</v>
      </c>
      <c r="Q3" s="308"/>
      <c r="R3" s="306" t="s">
        <v>14</v>
      </c>
      <c r="S3" s="307"/>
      <c r="T3" s="306" t="s">
        <v>15</v>
      </c>
      <c r="U3" s="308"/>
      <c r="V3" s="306" t="s">
        <v>16</v>
      </c>
      <c r="W3" s="307"/>
      <c r="X3" s="306" t="s">
        <v>17</v>
      </c>
      <c r="Y3" s="308"/>
      <c r="Z3" s="306" t="s">
        <v>51</v>
      </c>
      <c r="AA3" s="307"/>
    </row>
    <row r="4" spans="1:27">
      <c r="A4" s="7"/>
      <c r="B4" s="8" t="s">
        <v>10</v>
      </c>
      <c r="C4" s="8" t="s">
        <v>11</v>
      </c>
      <c r="D4" s="8" t="s">
        <v>10</v>
      </c>
      <c r="E4" s="8" t="s">
        <v>11</v>
      </c>
      <c r="F4" s="8" t="s">
        <v>10</v>
      </c>
      <c r="G4" s="8" t="s">
        <v>11</v>
      </c>
      <c r="H4" s="8" t="s">
        <v>10</v>
      </c>
      <c r="I4" s="8" t="s">
        <v>11</v>
      </c>
      <c r="J4" s="8" t="s">
        <v>10</v>
      </c>
      <c r="K4" s="8" t="s">
        <v>11</v>
      </c>
      <c r="L4" s="8" t="s">
        <v>10</v>
      </c>
      <c r="M4" s="8" t="s">
        <v>11</v>
      </c>
      <c r="N4" s="8" t="s">
        <v>10</v>
      </c>
      <c r="O4" s="8" t="s">
        <v>11</v>
      </c>
      <c r="P4" s="8" t="s">
        <v>10</v>
      </c>
      <c r="Q4" s="8" t="s">
        <v>11</v>
      </c>
      <c r="R4" s="8" t="s">
        <v>10</v>
      </c>
      <c r="S4" s="8" t="s">
        <v>11</v>
      </c>
      <c r="T4" s="8" t="s">
        <v>10</v>
      </c>
      <c r="U4" s="8" t="s">
        <v>11</v>
      </c>
      <c r="V4" s="8" t="s">
        <v>10</v>
      </c>
      <c r="W4" s="8" t="s">
        <v>11</v>
      </c>
      <c r="X4" s="8" t="s">
        <v>10</v>
      </c>
      <c r="Y4" s="8" t="s">
        <v>11</v>
      </c>
      <c r="Z4" s="8" t="s">
        <v>10</v>
      </c>
      <c r="AA4" s="8" t="s">
        <v>11</v>
      </c>
    </row>
    <row r="5" spans="1:27">
      <c r="A5" s="12" t="s">
        <v>53</v>
      </c>
      <c r="B5" s="9">
        <v>0</v>
      </c>
      <c r="C5" s="9">
        <v>0</v>
      </c>
      <c r="D5" s="9">
        <v>7552</v>
      </c>
      <c r="E5" s="9">
        <v>0</v>
      </c>
      <c r="F5" s="9">
        <v>271707</v>
      </c>
      <c r="G5" s="9">
        <v>0</v>
      </c>
      <c r="H5" s="9">
        <v>0</v>
      </c>
      <c r="I5" s="9">
        <v>0</v>
      </c>
      <c r="J5" s="9">
        <v>7552</v>
      </c>
      <c r="K5" s="9">
        <v>0</v>
      </c>
      <c r="L5" s="9">
        <v>3776</v>
      </c>
      <c r="M5" s="9">
        <v>0</v>
      </c>
      <c r="N5" s="9">
        <v>1514930</v>
      </c>
      <c r="O5" s="9">
        <v>0</v>
      </c>
      <c r="P5" s="9">
        <v>0</v>
      </c>
      <c r="Q5" s="9">
        <v>0</v>
      </c>
      <c r="R5" s="9">
        <v>7552</v>
      </c>
      <c r="S5" s="9">
        <v>0</v>
      </c>
      <c r="T5" s="9">
        <v>0</v>
      </c>
      <c r="U5" s="9">
        <v>0</v>
      </c>
      <c r="V5" s="9">
        <v>105092</v>
      </c>
      <c r="W5" s="9">
        <v>0</v>
      </c>
      <c r="X5" s="9">
        <v>7296</v>
      </c>
      <c r="Y5" s="9"/>
      <c r="Z5" s="9">
        <f>+B5+D5+F5+H5+J5+L5+N5+P5+R5+T5+V5+X5</f>
        <v>1925457</v>
      </c>
      <c r="AA5" s="9"/>
    </row>
    <row r="6" spans="1:27">
      <c r="A6" s="13" t="s">
        <v>54</v>
      </c>
      <c r="B6" s="10">
        <v>224680</v>
      </c>
      <c r="C6" s="10">
        <v>0</v>
      </c>
      <c r="D6" s="10">
        <v>223600</v>
      </c>
      <c r="E6" s="10">
        <v>0</v>
      </c>
      <c r="F6" s="10">
        <v>223600</v>
      </c>
      <c r="G6" s="10">
        <v>0</v>
      </c>
      <c r="H6" s="10">
        <v>224374</v>
      </c>
      <c r="I6" s="10">
        <v>0</v>
      </c>
      <c r="J6" s="10">
        <v>215393</v>
      </c>
      <c r="K6" s="10">
        <v>0</v>
      </c>
      <c r="L6" s="10">
        <v>222711</v>
      </c>
      <c r="M6" s="10">
        <v>0</v>
      </c>
      <c r="N6" s="10">
        <v>208310</v>
      </c>
      <c r="O6" s="10">
        <v>0</v>
      </c>
      <c r="P6" s="10">
        <v>205363</v>
      </c>
      <c r="Q6" s="10">
        <v>0</v>
      </c>
      <c r="R6" s="10">
        <v>205722</v>
      </c>
      <c r="S6" s="10">
        <v>0</v>
      </c>
      <c r="T6" s="10">
        <v>201877</v>
      </c>
      <c r="U6" s="10">
        <v>0</v>
      </c>
      <c r="V6" s="10">
        <v>83890</v>
      </c>
      <c r="W6" s="10">
        <v>0</v>
      </c>
      <c r="X6" s="10">
        <v>83890</v>
      </c>
      <c r="Y6" s="10"/>
      <c r="Z6" s="10">
        <f t="shared" ref="Z6:Z28" si="0">+B6+D6+F6+H6+J6+L6+N6+P6+R6+T6+V6+X6</f>
        <v>2323410</v>
      </c>
      <c r="AA6" s="10"/>
    </row>
    <row r="7" spans="1:27">
      <c r="A7" s="13" t="s">
        <v>55</v>
      </c>
      <c r="B7" s="10">
        <v>10560</v>
      </c>
      <c r="C7" s="10">
        <v>0</v>
      </c>
      <c r="D7" s="10">
        <v>10560</v>
      </c>
      <c r="E7" s="10">
        <v>0</v>
      </c>
      <c r="F7" s="10">
        <v>10560</v>
      </c>
      <c r="G7" s="10">
        <v>0</v>
      </c>
      <c r="H7" s="10">
        <v>10560</v>
      </c>
      <c r="I7" s="10">
        <v>0</v>
      </c>
      <c r="J7" s="10">
        <v>10560</v>
      </c>
      <c r="K7" s="10">
        <v>0</v>
      </c>
      <c r="L7" s="10">
        <v>10560</v>
      </c>
      <c r="M7" s="10">
        <v>0</v>
      </c>
      <c r="N7" s="10">
        <v>10740</v>
      </c>
      <c r="O7" s="10">
        <v>0</v>
      </c>
      <c r="P7" s="10">
        <v>10740</v>
      </c>
      <c r="Q7" s="10">
        <v>0</v>
      </c>
      <c r="R7" s="10">
        <v>10740</v>
      </c>
      <c r="S7" s="10">
        <v>0</v>
      </c>
      <c r="T7" s="10">
        <v>10740</v>
      </c>
      <c r="U7" s="10">
        <v>0</v>
      </c>
      <c r="V7" s="10">
        <v>10740</v>
      </c>
      <c r="W7" s="10">
        <v>0</v>
      </c>
      <c r="X7" s="10">
        <v>10740</v>
      </c>
      <c r="Y7" s="10"/>
      <c r="Z7" s="10">
        <f t="shared" si="0"/>
        <v>127800</v>
      </c>
      <c r="AA7" s="10"/>
    </row>
    <row r="8" spans="1:27">
      <c r="A8" s="13" t="s">
        <v>56</v>
      </c>
      <c r="B8" s="10">
        <v>0</v>
      </c>
      <c r="C8" s="10">
        <v>0</v>
      </c>
      <c r="D8" s="10">
        <v>75520</v>
      </c>
      <c r="E8" s="10">
        <v>0</v>
      </c>
      <c r="F8" s="10">
        <v>37760</v>
      </c>
      <c r="G8" s="10">
        <v>0</v>
      </c>
      <c r="H8" s="10">
        <v>37760</v>
      </c>
      <c r="I8" s="10">
        <v>0</v>
      </c>
      <c r="J8" s="10">
        <v>37760</v>
      </c>
      <c r="K8" s="10">
        <v>0</v>
      </c>
      <c r="L8" s="10">
        <v>37760</v>
      </c>
      <c r="M8" s="10">
        <v>0</v>
      </c>
      <c r="N8" s="10">
        <v>37760</v>
      </c>
      <c r="O8" s="10">
        <v>0</v>
      </c>
      <c r="P8" s="10">
        <v>37760</v>
      </c>
      <c r="Q8" s="10">
        <v>0</v>
      </c>
      <c r="R8" s="10">
        <v>37760</v>
      </c>
      <c r="S8" s="10">
        <v>0</v>
      </c>
      <c r="T8" s="10">
        <v>389909</v>
      </c>
      <c r="U8" s="10">
        <v>0</v>
      </c>
      <c r="V8" s="10">
        <v>60740</v>
      </c>
      <c r="W8" s="10">
        <v>0</v>
      </c>
      <c r="X8" s="10">
        <v>60740</v>
      </c>
      <c r="Y8" s="10"/>
      <c r="Z8" s="10">
        <f t="shared" si="0"/>
        <v>851229</v>
      </c>
      <c r="AA8" s="10"/>
    </row>
    <row r="9" spans="1:27">
      <c r="A9" s="13" t="s">
        <v>57</v>
      </c>
      <c r="B9" s="10">
        <v>11274</v>
      </c>
      <c r="C9" s="10">
        <v>0</v>
      </c>
      <c r="D9" s="10">
        <v>6225</v>
      </c>
      <c r="E9" s="10">
        <v>0</v>
      </c>
      <c r="F9" s="10">
        <v>26032</v>
      </c>
      <c r="G9" s="10">
        <v>0</v>
      </c>
      <c r="H9" s="10">
        <v>19072</v>
      </c>
      <c r="I9" s="10">
        <v>0</v>
      </c>
      <c r="J9" s="10">
        <v>6030</v>
      </c>
      <c r="K9" s="10">
        <v>0</v>
      </c>
      <c r="L9" s="10">
        <v>14050</v>
      </c>
      <c r="M9" s="10">
        <v>0</v>
      </c>
      <c r="N9" s="10">
        <v>2850</v>
      </c>
      <c r="O9" s="10">
        <v>0</v>
      </c>
      <c r="P9" s="10">
        <v>2850</v>
      </c>
      <c r="Q9" s="10">
        <v>0</v>
      </c>
      <c r="R9" s="10">
        <v>4750</v>
      </c>
      <c r="S9" s="10">
        <v>0</v>
      </c>
      <c r="T9" s="10">
        <v>9250</v>
      </c>
      <c r="U9" s="10">
        <v>0</v>
      </c>
      <c r="V9" s="10">
        <v>5267</v>
      </c>
      <c r="W9" s="10">
        <v>0</v>
      </c>
      <c r="X9" s="10">
        <v>19733</v>
      </c>
      <c r="Y9" s="10"/>
      <c r="Z9" s="10">
        <f t="shared" si="0"/>
        <v>127383</v>
      </c>
      <c r="AA9" s="10"/>
    </row>
    <row r="10" spans="1:27">
      <c r="A10" s="13" t="s">
        <v>58</v>
      </c>
      <c r="B10" s="10">
        <v>0</v>
      </c>
      <c r="C10" s="10">
        <v>0</v>
      </c>
      <c r="D10" s="10">
        <v>15000</v>
      </c>
      <c r="E10" s="10">
        <v>0</v>
      </c>
      <c r="F10" s="10">
        <v>72305</v>
      </c>
      <c r="G10" s="10">
        <v>0</v>
      </c>
      <c r="H10" s="10">
        <v>27955.01</v>
      </c>
      <c r="I10" s="10">
        <v>0</v>
      </c>
      <c r="J10" s="10">
        <v>5628</v>
      </c>
      <c r="K10" s="10">
        <v>0</v>
      </c>
      <c r="L10" s="10">
        <v>210200</v>
      </c>
      <c r="M10" s="10">
        <v>0</v>
      </c>
      <c r="N10" s="10">
        <v>217839</v>
      </c>
      <c r="O10" s="10">
        <v>0</v>
      </c>
      <c r="P10" s="10">
        <v>228585</v>
      </c>
      <c r="Q10" s="10">
        <v>0</v>
      </c>
      <c r="R10" s="10">
        <v>40531.550000000003</v>
      </c>
      <c r="S10" s="10">
        <v>0</v>
      </c>
      <c r="T10" s="10">
        <v>66697.009999999995</v>
      </c>
      <c r="U10" s="10">
        <v>0</v>
      </c>
      <c r="V10" s="10">
        <v>170717.5</v>
      </c>
      <c r="W10" s="10">
        <v>0</v>
      </c>
      <c r="X10" s="10">
        <v>712344.25</v>
      </c>
      <c r="Y10" s="10"/>
      <c r="Z10" s="10">
        <f t="shared" si="0"/>
        <v>1767802.32</v>
      </c>
      <c r="AA10" s="10"/>
    </row>
    <row r="11" spans="1:27">
      <c r="A11" s="13" t="s">
        <v>59</v>
      </c>
      <c r="B11" s="10">
        <v>0</v>
      </c>
      <c r="C11" s="10">
        <v>0</v>
      </c>
      <c r="D11" s="10">
        <v>0</v>
      </c>
      <c r="E11" s="10">
        <v>0</v>
      </c>
      <c r="F11" s="10">
        <v>10690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10000</v>
      </c>
      <c r="M11" s="10">
        <v>0</v>
      </c>
      <c r="N11" s="10">
        <v>199000</v>
      </c>
      <c r="O11" s="10">
        <v>0</v>
      </c>
      <c r="P11" s="10">
        <v>14530</v>
      </c>
      <c r="Q11" s="10">
        <v>0</v>
      </c>
      <c r="R11" s="10">
        <v>36300</v>
      </c>
      <c r="S11" s="10">
        <v>0</v>
      </c>
      <c r="T11" s="10">
        <v>166231</v>
      </c>
      <c r="U11" s="10">
        <v>0</v>
      </c>
      <c r="V11" s="10">
        <v>0</v>
      </c>
      <c r="W11" s="10">
        <v>0</v>
      </c>
      <c r="X11" s="10">
        <v>122048</v>
      </c>
      <c r="Y11" s="10"/>
      <c r="Z11" s="10">
        <f t="shared" si="0"/>
        <v>558799</v>
      </c>
      <c r="AA11" s="10"/>
    </row>
    <row r="12" spans="1:27">
      <c r="A12" s="13" t="s">
        <v>60</v>
      </c>
      <c r="B12" s="10">
        <v>14563.68</v>
      </c>
      <c r="C12" s="10">
        <v>0</v>
      </c>
      <c r="D12" s="10">
        <v>10210.370000000001</v>
      </c>
      <c r="E12" s="10">
        <v>0</v>
      </c>
      <c r="F12" s="10">
        <v>8233.2900000000009</v>
      </c>
      <c r="G12" s="10">
        <v>0</v>
      </c>
      <c r="H12" s="10">
        <v>9802.8700000000008</v>
      </c>
      <c r="I12" s="10">
        <v>0</v>
      </c>
      <c r="J12" s="10">
        <v>9187.7900000000009</v>
      </c>
      <c r="K12" s="10">
        <v>0</v>
      </c>
      <c r="L12" s="10">
        <v>10160.459999999999</v>
      </c>
      <c r="M12" s="10">
        <v>0</v>
      </c>
      <c r="N12" s="10">
        <v>12364.72</v>
      </c>
      <c r="O12" s="10">
        <v>0</v>
      </c>
      <c r="P12" s="10">
        <v>16653.27</v>
      </c>
      <c r="Q12" s="10">
        <v>0</v>
      </c>
      <c r="R12" s="10">
        <v>6204.09</v>
      </c>
      <c r="S12" s="10">
        <v>0</v>
      </c>
      <c r="T12" s="10">
        <v>0</v>
      </c>
      <c r="U12" s="10">
        <v>0</v>
      </c>
      <c r="V12" s="10">
        <v>26566.14</v>
      </c>
      <c r="W12" s="10">
        <v>0</v>
      </c>
      <c r="X12" s="10">
        <v>44125.81</v>
      </c>
      <c r="Y12" s="10"/>
      <c r="Z12" s="10">
        <f t="shared" si="0"/>
        <v>168072.49</v>
      </c>
      <c r="AA12" s="10"/>
    </row>
    <row r="13" spans="1:27">
      <c r="A13" s="13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30000</v>
      </c>
      <c r="I13" s="10">
        <v>0</v>
      </c>
      <c r="J13" s="10">
        <v>0</v>
      </c>
      <c r="K13" s="10">
        <v>0</v>
      </c>
      <c r="L13" s="10">
        <v>40000</v>
      </c>
      <c r="M13" s="10">
        <v>0</v>
      </c>
      <c r="N13" s="10">
        <v>516200</v>
      </c>
      <c r="O13" s="10">
        <v>0</v>
      </c>
      <c r="P13" s="10">
        <v>11700</v>
      </c>
      <c r="Q13" s="10">
        <v>0</v>
      </c>
      <c r="R13" s="10">
        <v>0</v>
      </c>
      <c r="S13" s="10">
        <v>0</v>
      </c>
      <c r="T13" s="10">
        <v>70000</v>
      </c>
      <c r="U13" s="10">
        <v>0</v>
      </c>
      <c r="V13" s="10">
        <v>25000</v>
      </c>
      <c r="W13" s="10">
        <v>0</v>
      </c>
      <c r="X13" s="10">
        <v>0</v>
      </c>
      <c r="Y13" s="10"/>
      <c r="Z13" s="10">
        <f t="shared" si="0"/>
        <v>692900</v>
      </c>
      <c r="AA13" s="10"/>
    </row>
    <row r="14" spans="1:27">
      <c r="A14" s="13" t="s">
        <v>62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181800</v>
      </c>
      <c r="U14" s="10">
        <v>0</v>
      </c>
      <c r="V14" s="10">
        <v>0</v>
      </c>
      <c r="W14" s="10">
        <v>0</v>
      </c>
      <c r="X14" s="10">
        <v>72400</v>
      </c>
      <c r="Y14" s="10"/>
      <c r="Z14" s="10">
        <f t="shared" si="0"/>
        <v>254200</v>
      </c>
      <c r="AA14" s="10"/>
    </row>
    <row r="15" spans="1:27">
      <c r="A15" s="13" t="s">
        <v>63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368607</v>
      </c>
      <c r="W15" s="10">
        <v>0</v>
      </c>
      <c r="X15" s="10">
        <v>1038500</v>
      </c>
      <c r="Y15" s="10"/>
      <c r="Z15" s="10">
        <f t="shared" si="0"/>
        <v>1407107</v>
      </c>
      <c r="AA15" s="10"/>
    </row>
    <row r="16" spans="1:27">
      <c r="A16" s="13" t="s">
        <v>64</v>
      </c>
      <c r="B16" s="10">
        <v>1215607</v>
      </c>
      <c r="C16" s="10">
        <v>0</v>
      </c>
      <c r="D16" s="10">
        <v>292000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78900</v>
      </c>
      <c r="M16" s="10">
        <v>0</v>
      </c>
      <c r="N16" s="10">
        <v>0</v>
      </c>
      <c r="O16" s="10">
        <v>0</v>
      </c>
      <c r="P16" s="10">
        <v>103100</v>
      </c>
      <c r="Q16" s="10">
        <v>0</v>
      </c>
      <c r="R16" s="10">
        <v>0</v>
      </c>
      <c r="S16" s="10">
        <v>0</v>
      </c>
      <c r="T16" s="10">
        <v>158000</v>
      </c>
      <c r="U16" s="10">
        <v>0</v>
      </c>
      <c r="V16" s="10">
        <v>0</v>
      </c>
      <c r="W16" s="10">
        <v>0</v>
      </c>
      <c r="X16" s="10">
        <v>0</v>
      </c>
      <c r="Y16" s="10"/>
      <c r="Z16" s="10">
        <f t="shared" si="0"/>
        <v>1847607</v>
      </c>
      <c r="AA16" s="10"/>
    </row>
    <row r="17" spans="1:27">
      <c r="A17" s="13" t="s">
        <v>65</v>
      </c>
      <c r="B17" s="10">
        <v>0</v>
      </c>
      <c r="C17" s="10">
        <v>0</v>
      </c>
      <c r="D17" s="10">
        <v>56300</v>
      </c>
      <c r="E17" s="10">
        <v>0</v>
      </c>
      <c r="F17" s="10">
        <v>3590500</v>
      </c>
      <c r="G17" s="10">
        <v>0</v>
      </c>
      <c r="H17" s="10">
        <v>7723286</v>
      </c>
      <c r="I17" s="10">
        <v>0</v>
      </c>
      <c r="J17" s="10">
        <v>187656</v>
      </c>
      <c r="K17" s="10">
        <v>0</v>
      </c>
      <c r="L17" s="10">
        <v>515160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207000</v>
      </c>
      <c r="S17" s="10">
        <v>0</v>
      </c>
      <c r="T17" s="10">
        <v>199385.1</v>
      </c>
      <c r="U17" s="10">
        <v>0</v>
      </c>
      <c r="V17" s="10">
        <v>0</v>
      </c>
      <c r="W17" s="10"/>
      <c r="X17" s="10">
        <v>81400</v>
      </c>
      <c r="Y17" s="10"/>
      <c r="Z17" s="10">
        <f t="shared" si="0"/>
        <v>12560687.1</v>
      </c>
      <c r="AA17" s="10"/>
    </row>
    <row r="18" spans="1:27">
      <c r="A18" s="13" t="s">
        <v>66</v>
      </c>
      <c r="B18" s="10">
        <v>11398.44</v>
      </c>
      <c r="C18" s="10">
        <v>0</v>
      </c>
      <c r="D18" s="10">
        <v>3427.37</v>
      </c>
      <c r="E18" s="10">
        <v>0</v>
      </c>
      <c r="F18" s="10">
        <v>0</v>
      </c>
      <c r="G18" s="10">
        <v>0</v>
      </c>
      <c r="H18" s="10">
        <v>105987.38</v>
      </c>
      <c r="I18" s="10">
        <v>0</v>
      </c>
      <c r="J18" s="10">
        <v>0</v>
      </c>
      <c r="K18" s="10">
        <v>0</v>
      </c>
      <c r="L18" s="10">
        <v>1763.11</v>
      </c>
      <c r="M18" s="10">
        <v>0</v>
      </c>
      <c r="N18" s="10">
        <v>2509.3200000000002</v>
      </c>
      <c r="O18" s="10">
        <v>0</v>
      </c>
      <c r="P18" s="10">
        <v>3242.45</v>
      </c>
      <c r="Q18" s="10">
        <v>0</v>
      </c>
      <c r="R18" s="10">
        <v>2590.92</v>
      </c>
      <c r="S18" s="10">
        <v>0</v>
      </c>
      <c r="T18" s="10">
        <v>9373.16</v>
      </c>
      <c r="U18" s="10">
        <v>0</v>
      </c>
      <c r="V18" s="10">
        <v>0</v>
      </c>
      <c r="W18" s="10"/>
      <c r="X18" s="10">
        <v>20299.95</v>
      </c>
      <c r="Y18" s="10"/>
      <c r="Z18" s="10">
        <f t="shared" si="0"/>
        <v>160592.1</v>
      </c>
      <c r="AA18" s="10"/>
    </row>
    <row r="19" spans="1:27">
      <c r="A19" s="13" t="s">
        <v>67</v>
      </c>
      <c r="B19" s="10">
        <v>0</v>
      </c>
      <c r="C19" s="10">
        <v>0</v>
      </c>
      <c r="D19" s="10">
        <v>7250</v>
      </c>
      <c r="E19" s="10">
        <v>0</v>
      </c>
      <c r="F19" s="10">
        <v>53757</v>
      </c>
      <c r="G19" s="10">
        <v>0</v>
      </c>
      <c r="H19" s="10">
        <v>0</v>
      </c>
      <c r="I19" s="10">
        <v>0</v>
      </c>
      <c r="J19" s="10">
        <v>38144</v>
      </c>
      <c r="K19" s="10">
        <v>0</v>
      </c>
      <c r="L19" s="10">
        <v>28925</v>
      </c>
      <c r="M19" s="10">
        <v>0</v>
      </c>
      <c r="N19" s="10">
        <v>14650</v>
      </c>
      <c r="O19" s="10">
        <v>0</v>
      </c>
      <c r="P19" s="10">
        <v>36150</v>
      </c>
      <c r="Q19" s="10">
        <v>0</v>
      </c>
      <c r="R19" s="10">
        <v>111750</v>
      </c>
      <c r="S19" s="10">
        <v>0</v>
      </c>
      <c r="T19" s="10">
        <v>318817</v>
      </c>
      <c r="U19" s="10">
        <v>0</v>
      </c>
      <c r="V19" s="10">
        <v>0</v>
      </c>
      <c r="W19" s="10"/>
      <c r="X19" s="10">
        <v>6915</v>
      </c>
      <c r="Y19" s="10"/>
      <c r="Z19" s="10">
        <f t="shared" si="0"/>
        <v>616358</v>
      </c>
      <c r="AA19" s="10"/>
    </row>
    <row r="20" spans="1:27">
      <c r="A20" s="13" t="s">
        <v>68</v>
      </c>
      <c r="B20" s="10">
        <v>0</v>
      </c>
      <c r="C20" s="10">
        <v>0</v>
      </c>
      <c r="D20" s="10">
        <v>1982.05</v>
      </c>
      <c r="E20" s="10">
        <v>0</v>
      </c>
      <c r="F20" s="10">
        <v>0</v>
      </c>
      <c r="G20" s="10">
        <v>0</v>
      </c>
      <c r="H20" s="10">
        <v>1704.3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3557.05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/>
      <c r="X20" s="10">
        <v>0</v>
      </c>
      <c r="Y20" s="10"/>
      <c r="Z20" s="10">
        <f t="shared" si="0"/>
        <v>7243.4</v>
      </c>
      <c r="AA20" s="10"/>
    </row>
    <row r="21" spans="1:27">
      <c r="A21" s="13" t="s">
        <v>69</v>
      </c>
      <c r="B21" s="10">
        <v>0</v>
      </c>
      <c r="C21" s="10">
        <v>0</v>
      </c>
      <c r="D21" s="10">
        <v>17866.02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/>
      <c r="X21" s="10">
        <v>0</v>
      </c>
      <c r="Y21" s="10"/>
      <c r="Z21" s="10">
        <f t="shared" si="0"/>
        <v>17866.02</v>
      </c>
      <c r="AA21" s="10"/>
    </row>
    <row r="22" spans="1:27">
      <c r="A22" s="13" t="s">
        <v>70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250000</v>
      </c>
      <c r="K22" s="10">
        <v>0</v>
      </c>
      <c r="L22" s="10">
        <v>120000</v>
      </c>
      <c r="M22" s="10">
        <v>0</v>
      </c>
      <c r="N22" s="10">
        <v>0</v>
      </c>
      <c r="O22" s="10">
        <v>0</v>
      </c>
      <c r="P22" s="10">
        <v>56500</v>
      </c>
      <c r="Q22" s="10">
        <v>0</v>
      </c>
      <c r="R22" s="10">
        <v>40000</v>
      </c>
      <c r="S22" s="10">
        <v>0</v>
      </c>
      <c r="T22" s="10">
        <v>0</v>
      </c>
      <c r="U22" s="10">
        <v>0</v>
      </c>
      <c r="V22" s="10">
        <v>0</v>
      </c>
      <c r="W22" s="10"/>
      <c r="X22" s="10">
        <v>0</v>
      </c>
      <c r="Y22" s="10"/>
      <c r="Z22" s="10">
        <f t="shared" si="0"/>
        <v>466500</v>
      </c>
      <c r="AA22" s="10"/>
    </row>
    <row r="23" spans="1:27">
      <c r="A23" s="13" t="s">
        <v>72</v>
      </c>
      <c r="B23" s="10">
        <v>0</v>
      </c>
      <c r="C23" s="10">
        <v>0</v>
      </c>
      <c r="D23" s="10">
        <v>0</v>
      </c>
      <c r="E23" s="10">
        <v>0</v>
      </c>
      <c r="F23" s="18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8">
        <v>0</v>
      </c>
      <c r="M23" s="10">
        <v>0</v>
      </c>
      <c r="N23" s="10">
        <v>0</v>
      </c>
      <c r="O23" s="10">
        <v>0</v>
      </c>
      <c r="P23" s="10">
        <v>222000</v>
      </c>
      <c r="Q23" s="10">
        <v>0</v>
      </c>
      <c r="R23" s="10">
        <v>110500</v>
      </c>
      <c r="S23" s="10">
        <v>0</v>
      </c>
      <c r="T23" s="10">
        <v>0</v>
      </c>
      <c r="U23" s="10">
        <v>0</v>
      </c>
      <c r="V23" s="10">
        <v>110000</v>
      </c>
      <c r="W23" s="10"/>
      <c r="X23" s="18">
        <v>219000</v>
      </c>
      <c r="Y23" s="10"/>
      <c r="Z23" s="10">
        <f t="shared" si="0"/>
        <v>661500</v>
      </c>
      <c r="AA23" s="10"/>
    </row>
    <row r="24" spans="1:27">
      <c r="A24" s="13" t="s">
        <v>71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8">
        <v>0</v>
      </c>
      <c r="S24" s="10">
        <v>0</v>
      </c>
      <c r="T24" s="10">
        <v>28650</v>
      </c>
      <c r="U24" s="10">
        <v>0</v>
      </c>
      <c r="V24" s="10">
        <v>24140</v>
      </c>
      <c r="W24" s="10"/>
      <c r="X24" s="10">
        <v>0</v>
      </c>
      <c r="Y24" s="10"/>
      <c r="Z24" s="10">
        <f t="shared" si="0"/>
        <v>52790</v>
      </c>
      <c r="AA24" s="10"/>
    </row>
    <row r="25" spans="1:27">
      <c r="A25" s="13" t="s">
        <v>73</v>
      </c>
      <c r="B25" s="10">
        <v>0</v>
      </c>
      <c r="C25" s="10">
        <v>0</v>
      </c>
      <c r="D25" s="10">
        <v>0</v>
      </c>
      <c r="E25" s="10">
        <v>0</v>
      </c>
      <c r="F25" s="18">
        <v>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8700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8">
        <v>4150</v>
      </c>
      <c r="W25" s="10"/>
      <c r="X25" s="10">
        <v>0</v>
      </c>
      <c r="Y25" s="10"/>
      <c r="Z25" s="10">
        <f t="shared" si="0"/>
        <v>32850</v>
      </c>
      <c r="AA25" s="10"/>
    </row>
    <row r="26" spans="1:27">
      <c r="A26" s="13" t="s">
        <v>78</v>
      </c>
      <c r="B26" s="10">
        <v>0</v>
      </c>
      <c r="C26" s="10">
        <v>0</v>
      </c>
      <c r="D26" s="10">
        <v>0</v>
      </c>
      <c r="E26" s="10">
        <v>0</v>
      </c>
      <c r="F26" s="18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23000</v>
      </c>
      <c r="U26" s="10">
        <v>0</v>
      </c>
      <c r="V26" s="10">
        <v>0</v>
      </c>
      <c r="W26" s="10"/>
      <c r="X26" s="10">
        <v>0</v>
      </c>
      <c r="Y26" s="10"/>
      <c r="Z26" s="10">
        <f t="shared" si="0"/>
        <v>23000</v>
      </c>
      <c r="AA26" s="10"/>
    </row>
    <row r="27" spans="1:27">
      <c r="A27" s="13" t="s">
        <v>79</v>
      </c>
      <c r="B27" s="10">
        <v>0</v>
      </c>
      <c r="C27" s="10">
        <v>0</v>
      </c>
      <c r="D27" s="10">
        <v>0</v>
      </c>
      <c r="E27" s="10">
        <v>0</v>
      </c>
      <c r="F27" s="18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20000</v>
      </c>
      <c r="U27" s="10">
        <v>0</v>
      </c>
      <c r="V27" s="10">
        <v>0</v>
      </c>
      <c r="W27" s="10"/>
      <c r="X27" s="10">
        <v>0</v>
      </c>
      <c r="Y27" s="10"/>
      <c r="Z27" s="10">
        <f t="shared" si="0"/>
        <v>20000</v>
      </c>
      <c r="AA27" s="10"/>
    </row>
    <row r="28" spans="1:27">
      <c r="A28" s="13" t="s">
        <v>80</v>
      </c>
      <c r="B28" s="10">
        <v>0</v>
      </c>
      <c r="C28" s="10">
        <v>0</v>
      </c>
      <c r="D28" s="10">
        <v>0</v>
      </c>
      <c r="E28" s="10">
        <v>0</v>
      </c>
      <c r="F28" s="18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291040</v>
      </c>
      <c r="W28" s="10"/>
      <c r="X28" s="10">
        <v>0</v>
      </c>
      <c r="Y28" s="10"/>
      <c r="Z28" s="19">
        <f t="shared" si="0"/>
        <v>291040</v>
      </c>
      <c r="AA28" s="10"/>
    </row>
    <row r="29" spans="1:27">
      <c r="A29" s="13" t="s">
        <v>74</v>
      </c>
      <c r="B29" s="10">
        <v>0</v>
      </c>
      <c r="C29" s="10">
        <v>1468134.68</v>
      </c>
      <c r="D29" s="10">
        <v>0</v>
      </c>
      <c r="E29" s="10">
        <v>722065.44</v>
      </c>
      <c r="F29" s="10">
        <v>0</v>
      </c>
      <c r="G29" s="10">
        <v>4190906.57</v>
      </c>
      <c r="H29" s="10">
        <v>0</v>
      </c>
      <c r="I29" s="10">
        <v>7878569.9000000004</v>
      </c>
      <c r="J29" s="10">
        <v>0</v>
      </c>
      <c r="K29" s="10">
        <v>735178.68</v>
      </c>
      <c r="L29" s="10">
        <v>0</v>
      </c>
      <c r="M29" s="10">
        <v>1301456.25</v>
      </c>
      <c r="N29" s="10">
        <v>0</v>
      </c>
      <c r="O29" s="10">
        <v>2733910.59</v>
      </c>
      <c r="P29" s="10">
        <v>0</v>
      </c>
      <c r="Q29" s="10">
        <v>950139.85</v>
      </c>
      <c r="R29" s="10">
        <v>0</v>
      </c>
      <c r="S29" s="10">
        <v>819127.62</v>
      </c>
      <c r="T29" s="10">
        <v>0</v>
      </c>
      <c r="U29" s="10">
        <v>1837724.1</v>
      </c>
      <c r="V29" s="10"/>
      <c r="W29" s="10">
        <v>1273159.72</v>
      </c>
      <c r="X29" s="10"/>
      <c r="Y29" s="10">
        <v>2479299.98</v>
      </c>
      <c r="Z29" s="10"/>
      <c r="AA29" s="10">
        <f>+C29+E29+G29+I29+K29+M29+O29+Q29+S29+U29+W29+Y29</f>
        <v>26389673.380000003</v>
      </c>
    </row>
    <row r="30" spans="1:27">
      <c r="A30" s="13" t="s">
        <v>81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8">
        <v>20000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8">
        <v>8700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/>
      <c r="W30" s="18">
        <v>4150</v>
      </c>
      <c r="X30" s="10"/>
      <c r="Y30" s="10">
        <v>0</v>
      </c>
      <c r="Z30" s="10"/>
      <c r="AA30" s="10">
        <f>+C30+E30+G30+I30+K30+M30+O30+Q30+S30+U30+W30+Y30</f>
        <v>32850</v>
      </c>
    </row>
    <row r="31" spans="1:27">
      <c r="A31" s="13" t="s">
        <v>66</v>
      </c>
      <c r="B31" s="10">
        <v>0</v>
      </c>
      <c r="C31" s="10">
        <v>11398.44</v>
      </c>
      <c r="D31" s="10">
        <v>0</v>
      </c>
      <c r="E31" s="10">
        <v>3427.37</v>
      </c>
      <c r="F31" s="10">
        <v>0</v>
      </c>
      <c r="G31" s="10">
        <v>34821.72</v>
      </c>
      <c r="H31" s="10">
        <v>0</v>
      </c>
      <c r="I31" s="10">
        <v>71165.66</v>
      </c>
      <c r="J31" s="10">
        <v>0</v>
      </c>
      <c r="K31" s="10">
        <v>1763.11</v>
      </c>
      <c r="L31" s="10">
        <v>0</v>
      </c>
      <c r="M31" s="10">
        <v>2509.3200000000002</v>
      </c>
      <c r="N31" s="10">
        <v>0</v>
      </c>
      <c r="O31" s="10">
        <v>3242.45</v>
      </c>
      <c r="P31" s="10">
        <v>0</v>
      </c>
      <c r="Q31" s="10">
        <v>2590.92</v>
      </c>
      <c r="R31" s="10">
        <v>0</v>
      </c>
      <c r="S31" s="10">
        <v>2272.94</v>
      </c>
      <c r="T31" s="10">
        <v>0</v>
      </c>
      <c r="U31" s="10">
        <v>7100.22</v>
      </c>
      <c r="V31" s="10"/>
      <c r="W31" s="10">
        <v>5919.92</v>
      </c>
      <c r="X31" s="10"/>
      <c r="Y31" s="10">
        <v>14380.03</v>
      </c>
      <c r="Z31" s="10"/>
      <c r="AA31" s="10">
        <f>+C31+E31+G31+I31+K31+M31+O31+Q31+S31+U31+W31+Y31</f>
        <v>160592.1</v>
      </c>
    </row>
    <row r="32" spans="1:27">
      <c r="A32" s="13" t="s">
        <v>76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214.95</v>
      </c>
      <c r="V32" s="10"/>
      <c r="W32" s="10">
        <v>2720</v>
      </c>
      <c r="X32" s="10"/>
      <c r="Y32" s="10">
        <v>0</v>
      </c>
      <c r="Z32" s="10"/>
      <c r="AA32" s="10">
        <f>+C32+E32+G32+I32+K32+M32+O32+Q32+S32+U32+W32+Y32</f>
        <v>2934.95</v>
      </c>
    </row>
    <row r="33" spans="1:27">
      <c r="A33" s="13" t="s">
        <v>77</v>
      </c>
      <c r="B33" s="10">
        <v>0</v>
      </c>
      <c r="C33" s="10">
        <v>8550</v>
      </c>
      <c r="D33" s="10">
        <v>0</v>
      </c>
      <c r="E33" s="10">
        <v>2000</v>
      </c>
      <c r="F33" s="10">
        <v>0</v>
      </c>
      <c r="G33" s="10">
        <v>79416</v>
      </c>
      <c r="H33" s="10">
        <v>0</v>
      </c>
      <c r="I33" s="10">
        <v>240766</v>
      </c>
      <c r="J33" s="10">
        <v>0</v>
      </c>
      <c r="K33" s="10">
        <v>30969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8690</v>
      </c>
      <c r="V33" s="10"/>
      <c r="W33" s="10">
        <v>0</v>
      </c>
      <c r="X33" s="10"/>
      <c r="Y33" s="10">
        <v>5752</v>
      </c>
      <c r="Z33" s="10"/>
      <c r="AA33" s="10">
        <f>+C33+E33+G33+I33+K33+M33+O33+Q33+S33+U33+W33+Y33</f>
        <v>376143</v>
      </c>
    </row>
    <row r="34" spans="1:27">
      <c r="A34" s="1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23.25" thickBot="1">
      <c r="A36" s="15" t="s">
        <v>9</v>
      </c>
      <c r="B36" s="17">
        <f>+B5+B6+B7+B8+B9+B10+B11+B12+B13+B14+B15+B16+B17+B18+B19+B20+B21+B22+B23+B24+B25</f>
        <v>1488083.1199999999</v>
      </c>
      <c r="C36" s="17">
        <f>SUM(B36)</f>
        <v>1488083.1199999999</v>
      </c>
      <c r="D36" s="17">
        <f>+D5+D6+D7+D8+D9+D10+D11+D12+D13+D14+D15+D16+D17+D18+D19+D20+D21+D22+D23+D24+D25</f>
        <v>727492.81</v>
      </c>
      <c r="E36" s="17">
        <f>SUM(D36)</f>
        <v>727492.81</v>
      </c>
      <c r="F36" s="17">
        <f>+F5+F6+F7+F8+F9+F10+F11+F12+F13+F14+F15+F16+F17+F18+F19+F20+F21+F22+F23+F24+F25</f>
        <v>4325144.29</v>
      </c>
      <c r="G36" s="17">
        <f>SUM(G29:G35)</f>
        <v>4325144.29</v>
      </c>
      <c r="H36" s="17">
        <f>+H5+H6+H7+H8+H9+H10+H11+H12+H13+H14+H15+H16+H17+H18+H19+H20+H21+H22+H23+H24+H25</f>
        <v>8190501.5599999996</v>
      </c>
      <c r="I36" s="17">
        <f>SUM(I29:I35)</f>
        <v>8190501.5600000005</v>
      </c>
      <c r="J36" s="17">
        <f>+J5+J6+J7+J8+J9+J10+J11+J12+J13+J14+J15+J16+J17+J18+J19+J20+J21+J22+J23+J24+J25</f>
        <v>767910.79</v>
      </c>
      <c r="K36" s="17">
        <f>SUM(K29:K35)</f>
        <v>767910.79</v>
      </c>
      <c r="L36" s="17">
        <f>+L5+L6+L7+L8+L9+L10+L11+L12+L13+L14+L15+L16+L17+L18+L19+L20+L21+L22+L23+L24+L25</f>
        <v>1312665.57</v>
      </c>
      <c r="M36" s="17">
        <f>SUM(M29:M35)</f>
        <v>1312665.57</v>
      </c>
      <c r="N36" s="17">
        <f>+N5+N6+N7+N8+N9+N10+N11+N12+N13+N14+N15+N16+N17+N18+N19+N20+N21+N22+N23+N24+N25</f>
        <v>2737153.04</v>
      </c>
      <c r="O36" s="17">
        <f>SUM(O29:O35)</f>
        <v>2737153.04</v>
      </c>
      <c r="P36" s="17">
        <f>+P5+P6+P7+P8+P9+P10+P11+P12+P13+P14+P15+P16+P17+P18+P19+P20+P21+P22+P23+P24+P25</f>
        <v>952730.77</v>
      </c>
      <c r="Q36" s="17">
        <f>SUM(Q29:Q35)</f>
        <v>952730.77</v>
      </c>
      <c r="R36" s="17">
        <f>+R5+R6+R7+R8+R9+R10+R11+R12+R13+R14+R15+R16+R17+R18+R19+R20+R21+R22+R23+R24+R25</f>
        <v>821400.56</v>
      </c>
      <c r="S36" s="17">
        <f>SUM(R36)</f>
        <v>821400.56</v>
      </c>
      <c r="T36" s="17">
        <f>+T5+T6+T7+T8+T9+T10+T11+T12+T13+T14+T15+T16+T17+T18+T19+T20+T21+T22+T23+T24+T25+T26+T27</f>
        <v>1853729.27</v>
      </c>
      <c r="U36" s="17">
        <f>+U29+U30+U31+U32+U33</f>
        <v>1853729.27</v>
      </c>
      <c r="V36" s="17">
        <f>+V5+V6+V7+V8+V9+V10+V11+V12+V13+V14+V15+V16+V17+V18+V19+V20+V21+V22+V23+V24+V25+V26+V27+V28</f>
        <v>1285949.6400000001</v>
      </c>
      <c r="W36" s="17">
        <f>+W29+W30+W31+W32+W33</f>
        <v>1285949.6399999999</v>
      </c>
      <c r="X36" s="17">
        <f>+X5+X6+X7+X8+X9+X10+X11+X12+X13+X14+X15+X16+X17+X18+X19+X20+X21+X22+X23+X24+X25+X26+X27+X28</f>
        <v>2499432.0100000002</v>
      </c>
      <c r="Y36" s="17">
        <f>+Y29+Y30+Y31+Y32+Y33</f>
        <v>2499432.0099999998</v>
      </c>
      <c r="Z36" s="17">
        <f>+Z5+Z6+Z7+Z8+Z9+Z10+Z11+Z12+Z13+Z14+Z15+Z16+Z17+Z18+Z19+Z20+Z21+Z22+Z23+Z24+Z25+Z26+Z27+Z28</f>
        <v>26962193.43</v>
      </c>
      <c r="AA36" s="17">
        <f>SUM(AA29:AA35)</f>
        <v>26962193.430000003</v>
      </c>
    </row>
    <row r="37" spans="1:27" ht="23.25" thickTop="1"/>
  </sheetData>
  <mergeCells count="13">
    <mergeCell ref="Z3:AA3"/>
    <mergeCell ref="N3:O3"/>
    <mergeCell ref="P3:Q3"/>
    <mergeCell ref="R3:S3"/>
    <mergeCell ref="T3:U3"/>
    <mergeCell ref="V3:W3"/>
    <mergeCell ref="X3:Y3"/>
    <mergeCell ref="L3:M3"/>
    <mergeCell ref="B3:C3"/>
    <mergeCell ref="D3:E3"/>
    <mergeCell ref="F3:G3"/>
    <mergeCell ref="H3:I3"/>
    <mergeCell ref="J3:K3"/>
  </mergeCells>
  <pageMargins left="0.2" right="0.2" top="0.5" bottom="0.5" header="0.3" footer="0.3"/>
  <pageSetup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5"/>
  <sheetViews>
    <sheetView topLeftCell="A22" workbookViewId="0">
      <selection activeCell="C34" sqref="C34"/>
    </sheetView>
  </sheetViews>
  <sheetFormatPr defaultColWidth="23.25" defaultRowHeight="22.5"/>
  <cols>
    <col min="1" max="1" width="27" style="22" customWidth="1"/>
    <col min="2" max="2" width="15" style="225" customWidth="1"/>
    <col min="3" max="5" width="13.5" style="225" customWidth="1"/>
    <col min="6" max="16384" width="23.25" style="22"/>
  </cols>
  <sheetData>
    <row r="1" spans="1:5" ht="23.25">
      <c r="A1" s="337" t="s">
        <v>339</v>
      </c>
      <c r="B1" s="337"/>
      <c r="C1" s="337"/>
      <c r="D1" s="337"/>
      <c r="E1" s="337"/>
    </row>
    <row r="2" spans="1:5" ht="23.25">
      <c r="A2" s="337" t="s">
        <v>441</v>
      </c>
      <c r="B2" s="337"/>
      <c r="C2" s="337"/>
      <c r="D2" s="337"/>
      <c r="E2" s="337"/>
    </row>
    <row r="3" spans="1:5" ht="23.25">
      <c r="A3" s="337" t="s">
        <v>466</v>
      </c>
      <c r="B3" s="337"/>
      <c r="C3" s="337"/>
      <c r="D3" s="337"/>
      <c r="E3" s="337"/>
    </row>
    <row r="4" spans="1:5">
      <c r="A4" s="219" t="s">
        <v>458</v>
      </c>
      <c r="B4" s="226" t="s">
        <v>443</v>
      </c>
      <c r="C4" s="227" t="s">
        <v>444</v>
      </c>
      <c r="D4" s="226" t="s">
        <v>445</v>
      </c>
      <c r="E4" s="228" t="s">
        <v>446</v>
      </c>
    </row>
    <row r="5" spans="1:5">
      <c r="A5" s="218"/>
      <c r="B5" s="229"/>
      <c r="C5" s="230"/>
      <c r="D5" s="229"/>
      <c r="E5" s="231"/>
    </row>
    <row r="6" spans="1:5" ht="23.25">
      <c r="A6" s="222" t="s">
        <v>447</v>
      </c>
      <c r="B6" s="236">
        <f>+ทรัพย์สิน52!E6</f>
        <v>8538277</v>
      </c>
      <c r="C6" s="155">
        <v>0</v>
      </c>
      <c r="D6" s="144">
        <v>0</v>
      </c>
      <c r="E6" s="237">
        <f>+B6+C15-D15</f>
        <v>8538277</v>
      </c>
    </row>
    <row r="7" spans="1:5">
      <c r="A7" s="223" t="s">
        <v>468</v>
      </c>
      <c r="B7" s="144">
        <f>+ทรัพย์สิน52!E7</f>
        <v>435900</v>
      </c>
      <c r="C7" s="155">
        <v>0</v>
      </c>
      <c r="D7" s="144">
        <v>0</v>
      </c>
      <c r="E7" s="232">
        <f>+B7+C7-D7</f>
        <v>435900</v>
      </c>
    </row>
    <row r="8" spans="1:5">
      <c r="A8" s="35" t="s">
        <v>469</v>
      </c>
      <c r="B8" s="144">
        <f>+ทรัพย์สิน52!E8</f>
        <v>400000</v>
      </c>
      <c r="C8" s="155">
        <v>0</v>
      </c>
      <c r="D8" s="144">
        <v>0</v>
      </c>
      <c r="E8" s="232">
        <f>+B8+C8-D8</f>
        <v>400000</v>
      </c>
    </row>
    <row r="9" spans="1:5">
      <c r="A9" s="35" t="s">
        <v>459</v>
      </c>
      <c r="B9" s="144">
        <f>+ทรัพย์สิน52!E9</f>
        <v>4399000</v>
      </c>
      <c r="C9" s="155">
        <v>0</v>
      </c>
      <c r="D9" s="144">
        <v>0</v>
      </c>
      <c r="E9" s="232">
        <f t="shared" ref="E9:E14" si="0">+B9+C9-D9</f>
        <v>4399000</v>
      </c>
    </row>
    <row r="10" spans="1:5">
      <c r="A10" s="35" t="s">
        <v>460</v>
      </c>
      <c r="B10" s="144">
        <f>+ทรัพย์สิน52!E10</f>
        <v>597000</v>
      </c>
      <c r="C10" s="155">
        <v>0</v>
      </c>
      <c r="D10" s="144">
        <v>0</v>
      </c>
      <c r="E10" s="232">
        <f t="shared" si="0"/>
        <v>597000</v>
      </c>
    </row>
    <row r="11" spans="1:5">
      <c r="A11" s="35" t="s">
        <v>461</v>
      </c>
      <c r="B11" s="144">
        <f>+ทรัพย์สิน52!E11</f>
        <v>15500</v>
      </c>
      <c r="C11" s="155">
        <v>0</v>
      </c>
      <c r="D11" s="144">
        <v>0</v>
      </c>
      <c r="E11" s="232">
        <f t="shared" si="0"/>
        <v>15500</v>
      </c>
    </row>
    <row r="12" spans="1:5">
      <c r="A12" s="35" t="s">
        <v>462</v>
      </c>
      <c r="B12" s="144">
        <f>+ทรัพย์สิน51!E13</f>
        <v>411500</v>
      </c>
      <c r="C12" s="155">
        <v>0</v>
      </c>
      <c r="D12" s="144">
        <v>0</v>
      </c>
      <c r="E12" s="232">
        <f t="shared" si="0"/>
        <v>411500</v>
      </c>
    </row>
    <row r="13" spans="1:5">
      <c r="A13" s="35" t="s">
        <v>464</v>
      </c>
      <c r="B13" s="144">
        <f>+ทรัพย์สิน52!E13</f>
        <v>411000</v>
      </c>
      <c r="C13" s="155">
        <v>0</v>
      </c>
      <c r="D13" s="144">
        <v>0</v>
      </c>
      <c r="E13" s="232">
        <f t="shared" si="0"/>
        <v>411000</v>
      </c>
    </row>
    <row r="14" spans="1:5">
      <c r="A14" s="35" t="s">
        <v>465</v>
      </c>
      <c r="B14" s="144">
        <f>+ทรัพย์สิน52!E14</f>
        <v>270175</v>
      </c>
      <c r="C14" s="155">
        <v>0</v>
      </c>
      <c r="D14" s="144">
        <v>0</v>
      </c>
      <c r="E14" s="232">
        <f t="shared" si="0"/>
        <v>270175</v>
      </c>
    </row>
    <row r="15" spans="1:5" ht="23.25" thickBot="1">
      <c r="A15" s="35"/>
      <c r="B15" s="239"/>
      <c r="C15" s="240">
        <f>SUM(C7:C14)</f>
        <v>0</v>
      </c>
      <c r="D15" s="239">
        <f>SUM(D7:D14)</f>
        <v>0</v>
      </c>
      <c r="E15" s="239"/>
    </row>
    <row r="16" spans="1:5" ht="24" thickTop="1">
      <c r="A16" s="222" t="s">
        <v>448</v>
      </c>
      <c r="B16" s="236">
        <f>+ทรัพย์สิน52!E17</f>
        <v>3906355</v>
      </c>
      <c r="C16" s="155"/>
      <c r="D16" s="144"/>
      <c r="E16" s="237">
        <f>+B16+C27-D27</f>
        <v>4372600</v>
      </c>
    </row>
    <row r="17" spans="1:6">
      <c r="A17" s="223" t="s">
        <v>449</v>
      </c>
      <c r="B17" s="144">
        <f>+ทรัพย์สิน52!E18</f>
        <v>124700</v>
      </c>
      <c r="C17" s="155">
        <v>0</v>
      </c>
      <c r="D17" s="144">
        <v>0</v>
      </c>
      <c r="E17" s="232">
        <f t="shared" ref="E17:E26" si="1">+B17+C17-D17</f>
        <v>124700</v>
      </c>
    </row>
    <row r="18" spans="1:6">
      <c r="A18" s="223" t="s">
        <v>450</v>
      </c>
      <c r="B18" s="144">
        <f>+ทรัพย์สิน52!E19</f>
        <v>99800</v>
      </c>
      <c r="C18" s="155">
        <v>0</v>
      </c>
      <c r="D18" s="144">
        <v>0</v>
      </c>
      <c r="E18" s="232">
        <f t="shared" si="1"/>
        <v>99800</v>
      </c>
    </row>
    <row r="19" spans="1:6">
      <c r="A19" s="223" t="s">
        <v>451</v>
      </c>
      <c r="B19" s="144">
        <f>+ทรัพย์สิน52!E20</f>
        <v>422800</v>
      </c>
      <c r="C19" s="155">
        <v>0</v>
      </c>
      <c r="D19" s="144">
        <v>0</v>
      </c>
      <c r="E19" s="232">
        <f t="shared" si="1"/>
        <v>422800</v>
      </c>
      <c r="F19" s="238">
        <f>+B16+C27-D27+E6</f>
        <v>12910877</v>
      </c>
    </row>
    <row r="20" spans="1:6">
      <c r="A20" s="223" t="s">
        <v>452</v>
      </c>
      <c r="B20" s="144">
        <f>+ทรัพย์สิน52!E21</f>
        <v>348600</v>
      </c>
      <c r="C20" s="155">
        <f>15745+48000</f>
        <v>63745</v>
      </c>
      <c r="D20" s="144">
        <v>0</v>
      </c>
      <c r="E20" s="232">
        <f t="shared" si="1"/>
        <v>412345</v>
      </c>
    </row>
    <row r="21" spans="1:6">
      <c r="A21" s="223" t="s">
        <v>453</v>
      </c>
      <c r="B21" s="144">
        <f>+ทรัพย์สิน52!E22</f>
        <v>0</v>
      </c>
      <c r="C21" s="155">
        <f>28500</f>
        <v>28500</v>
      </c>
      <c r="D21" s="144">
        <v>0</v>
      </c>
      <c r="E21" s="232">
        <f t="shared" si="1"/>
        <v>28500</v>
      </c>
    </row>
    <row r="22" spans="1:6">
      <c r="A22" s="223" t="s">
        <v>454</v>
      </c>
      <c r="B22" s="144">
        <f>+ทรัพย์สิน52!E23</f>
        <v>143500</v>
      </c>
      <c r="C22" s="155">
        <v>52000</v>
      </c>
      <c r="D22" s="144">
        <v>0</v>
      </c>
      <c r="E22" s="232">
        <f t="shared" si="1"/>
        <v>195500</v>
      </c>
    </row>
    <row r="23" spans="1:6">
      <c r="A23" s="223" t="s">
        <v>455</v>
      </c>
      <c r="B23" s="144">
        <f>+ทรัพย์สิน52!E24</f>
        <v>91700</v>
      </c>
      <c r="C23" s="155">
        <f>28500</f>
        <v>28500</v>
      </c>
      <c r="D23" s="144">
        <v>0</v>
      </c>
      <c r="E23" s="232">
        <f t="shared" si="1"/>
        <v>120200</v>
      </c>
    </row>
    <row r="24" spans="1:6">
      <c r="A24" s="223" t="s">
        <v>456</v>
      </c>
      <c r="B24" s="144">
        <f>+ทรัพย์สิน52!E25</f>
        <v>779000</v>
      </c>
      <c r="C24" s="155">
        <f>267500</f>
        <v>267500</v>
      </c>
      <c r="D24" s="144">
        <v>0</v>
      </c>
      <c r="E24" s="232">
        <f t="shared" si="1"/>
        <v>1046500</v>
      </c>
    </row>
    <row r="25" spans="1:6">
      <c r="A25" s="223" t="s">
        <v>470</v>
      </c>
      <c r="B25" s="144">
        <f>+ทรัพย์สิน52!E26</f>
        <v>199000</v>
      </c>
      <c r="C25" s="155">
        <v>0</v>
      </c>
      <c r="D25" s="144">
        <v>0</v>
      </c>
      <c r="E25" s="232">
        <f t="shared" si="1"/>
        <v>199000</v>
      </c>
    </row>
    <row r="26" spans="1:6">
      <c r="A26" s="223" t="s">
        <v>471</v>
      </c>
      <c r="B26" s="144">
        <v>0</v>
      </c>
      <c r="C26" s="155">
        <f>8000+18000</f>
        <v>26000</v>
      </c>
      <c r="D26" s="144">
        <v>0</v>
      </c>
      <c r="E26" s="232">
        <f t="shared" si="1"/>
        <v>26000</v>
      </c>
    </row>
    <row r="27" spans="1:6" ht="23.25" thickBot="1">
      <c r="A27" s="223"/>
      <c r="B27" s="239"/>
      <c r="C27" s="240">
        <f>SUM(C17:C26)</f>
        <v>466245</v>
      </c>
      <c r="D27" s="239">
        <f>SUM(D17:D26)</f>
        <v>0</v>
      </c>
      <c r="E27" s="241"/>
      <c r="F27" s="238">
        <f>+E6+E16</f>
        <v>12910877</v>
      </c>
    </row>
    <row r="28" spans="1:6" ht="23.25" thickTop="1">
      <c r="A28" s="35"/>
      <c r="B28" s="144"/>
      <c r="C28" s="155"/>
      <c r="D28" s="144"/>
      <c r="E28" s="232"/>
    </row>
    <row r="29" spans="1:6" ht="24" thickBot="1">
      <c r="A29" s="224" t="s">
        <v>9</v>
      </c>
      <c r="B29" s="233">
        <f>+B6+B16</f>
        <v>12444632</v>
      </c>
      <c r="C29" s="234">
        <f>SUM(C15+C27)</f>
        <v>466245</v>
      </c>
      <c r="D29" s="233">
        <f>SUM(D7:D28)</f>
        <v>0</v>
      </c>
      <c r="E29" s="235">
        <f>+E6+E16</f>
        <v>12910877</v>
      </c>
    </row>
    <row r="30" spans="1:6" s="51" customFormat="1" ht="23.25" thickTop="1">
      <c r="A30" s="242"/>
      <c r="B30" s="155"/>
      <c r="C30" s="155"/>
      <c r="D30" s="155"/>
      <c r="E30" s="155"/>
    </row>
    <row r="31" spans="1:6" s="51" customFormat="1">
      <c r="B31" s="155"/>
      <c r="C31" s="155"/>
      <c r="D31" s="155"/>
      <c r="E31" s="155"/>
    </row>
    <row r="32" spans="1:6" s="51" customFormat="1">
      <c r="B32" s="155"/>
      <c r="C32" s="155"/>
      <c r="D32" s="155"/>
      <c r="E32" s="155"/>
    </row>
    <row r="33" spans="1:6" s="51" customFormat="1">
      <c r="B33" s="155"/>
      <c r="C33" s="155"/>
      <c r="D33" s="155"/>
      <c r="E33" s="155"/>
      <c r="F33" s="204"/>
    </row>
    <row r="34" spans="1:6" s="51" customFormat="1">
      <c r="B34" s="155"/>
      <c r="C34" s="155"/>
      <c r="D34" s="155"/>
      <c r="E34" s="155"/>
    </row>
    <row r="35" spans="1:6" s="51" customFormat="1" ht="23.25">
      <c r="A35" s="243"/>
      <c r="B35" s="244"/>
      <c r="C35" s="244"/>
      <c r="D35" s="244"/>
      <c r="E35" s="2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35"/>
  <sheetViews>
    <sheetView topLeftCell="A19" workbookViewId="0">
      <selection activeCell="D31" sqref="D31"/>
    </sheetView>
  </sheetViews>
  <sheetFormatPr defaultColWidth="23.25" defaultRowHeight="22.5"/>
  <cols>
    <col min="1" max="1" width="27" style="22" customWidth="1"/>
    <col min="2" max="2" width="15" style="225" customWidth="1"/>
    <col min="3" max="5" width="13.75" style="225" customWidth="1"/>
    <col min="6" max="16384" width="23.25" style="22"/>
  </cols>
  <sheetData>
    <row r="1" spans="1:5" ht="23.25">
      <c r="A1" s="337" t="s">
        <v>339</v>
      </c>
      <c r="B1" s="337"/>
      <c r="C1" s="337"/>
      <c r="D1" s="337"/>
      <c r="E1" s="337"/>
    </row>
    <row r="2" spans="1:5" ht="23.25">
      <c r="A2" s="337" t="s">
        <v>441</v>
      </c>
      <c r="B2" s="337"/>
      <c r="C2" s="337"/>
      <c r="D2" s="337"/>
      <c r="E2" s="337"/>
    </row>
    <row r="3" spans="1:5" ht="23.25">
      <c r="A3" s="337" t="s">
        <v>467</v>
      </c>
      <c r="B3" s="337"/>
      <c r="C3" s="337"/>
      <c r="D3" s="337"/>
      <c r="E3" s="337"/>
    </row>
    <row r="4" spans="1:5">
      <c r="A4" s="246" t="s">
        <v>458</v>
      </c>
      <c r="B4" s="226" t="s">
        <v>443</v>
      </c>
      <c r="C4" s="227" t="s">
        <v>444</v>
      </c>
      <c r="D4" s="226" t="s">
        <v>445</v>
      </c>
      <c r="E4" s="228" t="s">
        <v>446</v>
      </c>
    </row>
    <row r="5" spans="1:5">
      <c r="A5" s="245"/>
      <c r="B5" s="229"/>
      <c r="C5" s="230"/>
      <c r="D5" s="229"/>
      <c r="E5" s="231"/>
    </row>
    <row r="6" spans="1:5" ht="23.25">
      <c r="A6" s="222" t="s">
        <v>447</v>
      </c>
      <c r="B6" s="236">
        <f>+ทรัพย์สิน53!E6</f>
        <v>8538277</v>
      </c>
      <c r="C6" s="155">
        <v>0</v>
      </c>
      <c r="D6" s="144">
        <v>0</v>
      </c>
      <c r="E6" s="237">
        <f>+B6+C15-D15</f>
        <v>8538277</v>
      </c>
    </row>
    <row r="7" spans="1:5">
      <c r="A7" s="223" t="s">
        <v>468</v>
      </c>
      <c r="B7" s="144">
        <f>+ทรัพย์สิน53!E7</f>
        <v>435900</v>
      </c>
      <c r="C7" s="155">
        <v>0</v>
      </c>
      <c r="D7" s="144">
        <v>0</v>
      </c>
      <c r="E7" s="232">
        <f>+B7+C7-D7</f>
        <v>435900</v>
      </c>
    </row>
    <row r="8" spans="1:5">
      <c r="A8" s="35" t="s">
        <v>469</v>
      </c>
      <c r="B8" s="144">
        <f>+ทรัพย์สิน53!E8</f>
        <v>400000</v>
      </c>
      <c r="C8" s="155">
        <v>0</v>
      </c>
      <c r="D8" s="144">
        <v>0</v>
      </c>
      <c r="E8" s="232">
        <f>+B8+C8-D8</f>
        <v>400000</v>
      </c>
    </row>
    <row r="9" spans="1:5">
      <c r="A9" s="35" t="s">
        <v>459</v>
      </c>
      <c r="B9" s="144">
        <f>+ทรัพย์สิน53!E9</f>
        <v>4399000</v>
      </c>
      <c r="C9" s="155">
        <v>0</v>
      </c>
      <c r="D9" s="144">
        <v>0</v>
      </c>
      <c r="E9" s="232">
        <f t="shared" ref="E9:E14" si="0">+B9+C9-D9</f>
        <v>4399000</v>
      </c>
    </row>
    <row r="10" spans="1:5">
      <c r="A10" s="35" t="s">
        <v>460</v>
      </c>
      <c r="B10" s="144">
        <f>+ทรัพย์สิน53!E10</f>
        <v>597000</v>
      </c>
      <c r="C10" s="155">
        <v>0</v>
      </c>
      <c r="D10" s="144">
        <v>0</v>
      </c>
      <c r="E10" s="232">
        <f t="shared" si="0"/>
        <v>597000</v>
      </c>
    </row>
    <row r="11" spans="1:5">
      <c r="A11" s="35" t="s">
        <v>461</v>
      </c>
      <c r="B11" s="144">
        <f>+ทรัพย์สิน53!E11</f>
        <v>15500</v>
      </c>
      <c r="C11" s="155">
        <v>0</v>
      </c>
      <c r="D11" s="144">
        <v>0</v>
      </c>
      <c r="E11" s="232">
        <f t="shared" si="0"/>
        <v>15500</v>
      </c>
    </row>
    <row r="12" spans="1:5">
      <c r="A12" s="35" t="s">
        <v>462</v>
      </c>
      <c r="B12" s="144">
        <f>+ทรัพย์สิน53!E12</f>
        <v>411500</v>
      </c>
      <c r="C12" s="155">
        <v>0</v>
      </c>
      <c r="D12" s="144">
        <v>0</v>
      </c>
      <c r="E12" s="232">
        <f t="shared" si="0"/>
        <v>411500</v>
      </c>
    </row>
    <row r="13" spans="1:5">
      <c r="A13" s="35" t="s">
        <v>464</v>
      </c>
      <c r="B13" s="144">
        <f>+ทรัพย์สิน53!E13</f>
        <v>411000</v>
      </c>
      <c r="C13" s="155">
        <v>0</v>
      </c>
      <c r="D13" s="144">
        <v>0</v>
      </c>
      <c r="E13" s="232">
        <f t="shared" si="0"/>
        <v>411000</v>
      </c>
    </row>
    <row r="14" spans="1:5">
      <c r="A14" s="35" t="s">
        <v>465</v>
      </c>
      <c r="B14" s="144">
        <f>+ทรัพย์สิน53!E14</f>
        <v>270175</v>
      </c>
      <c r="C14" s="155">
        <v>0</v>
      </c>
      <c r="D14" s="144">
        <v>0</v>
      </c>
      <c r="E14" s="232">
        <f t="shared" si="0"/>
        <v>270175</v>
      </c>
    </row>
    <row r="15" spans="1:5" ht="23.25" thickBot="1">
      <c r="A15" s="35"/>
      <c r="B15" s="239"/>
      <c r="C15" s="240">
        <f>SUM(C7:C14)</f>
        <v>0</v>
      </c>
      <c r="D15" s="239">
        <f>SUM(D7:D14)</f>
        <v>0</v>
      </c>
      <c r="E15" s="239"/>
    </row>
    <row r="16" spans="1:5" ht="24" thickTop="1">
      <c r="A16" s="222" t="s">
        <v>448</v>
      </c>
      <c r="B16" s="236">
        <f>+ทรัพย์สิน53!E16</f>
        <v>4372600</v>
      </c>
      <c r="C16" s="155"/>
      <c r="D16" s="144"/>
      <c r="E16" s="237">
        <f>+B16+C27-D27</f>
        <v>4666480</v>
      </c>
    </row>
    <row r="17" spans="1:6">
      <c r="A17" s="223" t="s">
        <v>449</v>
      </c>
      <c r="B17" s="144">
        <f>+ทรัพย์สิน53!E17</f>
        <v>124700</v>
      </c>
      <c r="C17" s="155">
        <f>4000+4000+25000+7830+15400+31450+2000</f>
        <v>89680</v>
      </c>
      <c r="D17" s="144">
        <v>0</v>
      </c>
      <c r="E17" s="232">
        <f>+B17+C17-D17</f>
        <v>214380</v>
      </c>
    </row>
    <row r="18" spans="1:6">
      <c r="A18" s="223" t="s">
        <v>450</v>
      </c>
      <c r="B18" s="144">
        <f>+ทรัพย์สิน53!E18</f>
        <v>99800</v>
      </c>
      <c r="C18" s="155">
        <f>15900</f>
        <v>15900</v>
      </c>
      <c r="D18" s="144">
        <v>0</v>
      </c>
      <c r="E18" s="232">
        <f t="shared" ref="E18:E26" si="1">+B18+C18-D18</f>
        <v>115700</v>
      </c>
    </row>
    <row r="19" spans="1:6">
      <c r="A19" s="223" t="s">
        <v>451</v>
      </c>
      <c r="B19" s="144">
        <f>+ทรัพย์สิน53!E19</f>
        <v>422800</v>
      </c>
      <c r="C19" s="155">
        <f>6000+72700+19900+59800+29900</f>
        <v>188300</v>
      </c>
      <c r="D19" s="144">
        <v>0</v>
      </c>
      <c r="E19" s="232">
        <f t="shared" si="1"/>
        <v>611100</v>
      </c>
      <c r="F19" s="238">
        <f>+B16+C27-D27+E6</f>
        <v>13204757</v>
      </c>
    </row>
    <row r="20" spans="1:6">
      <c r="A20" s="223" t="s">
        <v>452</v>
      </c>
      <c r="B20" s="144">
        <f>+ทรัพย์สิน53!E20</f>
        <v>412345</v>
      </c>
      <c r="C20" s="155">
        <v>0</v>
      </c>
      <c r="D20" s="144">
        <v>0</v>
      </c>
      <c r="E20" s="232">
        <f t="shared" si="1"/>
        <v>412345</v>
      </c>
    </row>
    <row r="21" spans="1:6">
      <c r="A21" s="223" t="s">
        <v>453</v>
      </c>
      <c r="B21" s="144">
        <f>+ทรัพย์สิน53!E21</f>
        <v>28500</v>
      </c>
      <c r="C21" s="155">
        <v>0</v>
      </c>
      <c r="D21" s="144">
        <v>0</v>
      </c>
      <c r="E21" s="232">
        <f t="shared" si="1"/>
        <v>28500</v>
      </c>
    </row>
    <row r="22" spans="1:6">
      <c r="A22" s="223" t="s">
        <v>454</v>
      </c>
      <c r="B22" s="144">
        <f>+ทรัพย์สิน53!E22</f>
        <v>195500</v>
      </c>
      <c r="C22" s="155">
        <v>0</v>
      </c>
      <c r="D22" s="144">
        <v>0</v>
      </c>
      <c r="E22" s="232">
        <f t="shared" si="1"/>
        <v>195500</v>
      </c>
    </row>
    <row r="23" spans="1:6">
      <c r="A23" s="223" t="s">
        <v>455</v>
      </c>
      <c r="B23" s="144">
        <f>+ทรัพย์สิน53!E23</f>
        <v>120200</v>
      </c>
      <c r="C23" s="155">
        <v>0</v>
      </c>
      <c r="D23" s="144">
        <v>0</v>
      </c>
      <c r="E23" s="232">
        <f t="shared" si="1"/>
        <v>120200</v>
      </c>
    </row>
    <row r="24" spans="1:6">
      <c r="A24" s="223" t="s">
        <v>456</v>
      </c>
      <c r="B24" s="144">
        <f>+ทรัพย์สิน53!E24</f>
        <v>1046500</v>
      </c>
      <c r="C24" s="155">
        <v>0</v>
      </c>
      <c r="D24" s="144">
        <v>0</v>
      </c>
      <c r="E24" s="232">
        <f t="shared" si="1"/>
        <v>1046500</v>
      </c>
    </row>
    <row r="25" spans="1:6">
      <c r="A25" s="223" t="s">
        <v>470</v>
      </c>
      <c r="B25" s="144">
        <f>+ทรัพย์สิน53!E25</f>
        <v>199000</v>
      </c>
      <c r="C25" s="155">
        <v>0</v>
      </c>
      <c r="D25" s="144">
        <v>0</v>
      </c>
      <c r="E25" s="232">
        <f t="shared" si="1"/>
        <v>199000</v>
      </c>
    </row>
    <row r="26" spans="1:6">
      <c r="A26" s="223" t="s">
        <v>471</v>
      </c>
      <c r="B26" s="144">
        <f>+ทรัพย์สิน53!E26</f>
        <v>26000</v>
      </c>
      <c r="C26" s="155">
        <v>0</v>
      </c>
      <c r="D26" s="144">
        <v>0</v>
      </c>
      <c r="E26" s="232">
        <f t="shared" si="1"/>
        <v>26000</v>
      </c>
    </row>
    <row r="27" spans="1:6" ht="23.25" thickBot="1">
      <c r="A27" s="223"/>
      <c r="B27" s="239"/>
      <c r="C27" s="240">
        <f>SUM(C17:C26)</f>
        <v>293880</v>
      </c>
      <c r="D27" s="239">
        <f>SUM(D17:D26)</f>
        <v>0</v>
      </c>
      <c r="E27" s="241"/>
      <c r="F27" s="238">
        <f>+E6+E16</f>
        <v>13204757</v>
      </c>
    </row>
    <row r="28" spans="1:6" ht="23.25" thickTop="1">
      <c r="A28" s="35"/>
      <c r="B28" s="144"/>
      <c r="C28" s="155"/>
      <c r="D28" s="144"/>
      <c r="E28" s="232"/>
    </row>
    <row r="29" spans="1:6" ht="24" thickBot="1">
      <c r="A29" s="224" t="s">
        <v>9</v>
      </c>
      <c r="B29" s="233">
        <f>+B6+B16</f>
        <v>12910877</v>
      </c>
      <c r="C29" s="234">
        <f>SUM(C15+C27)</f>
        <v>293880</v>
      </c>
      <c r="D29" s="233">
        <f>SUM(D7:D28)</f>
        <v>0</v>
      </c>
      <c r="E29" s="235">
        <f>+E6+E16</f>
        <v>13204757</v>
      </c>
    </row>
    <row r="30" spans="1:6" s="51" customFormat="1" ht="23.25" thickTop="1">
      <c r="A30" s="242"/>
      <c r="B30" s="155"/>
      <c r="C30" s="155"/>
      <c r="D30" s="155"/>
      <c r="E30" s="155"/>
    </row>
    <row r="31" spans="1:6" s="51" customFormat="1">
      <c r="B31" s="155"/>
      <c r="C31" s="155"/>
      <c r="D31" s="155"/>
      <c r="E31" s="155"/>
    </row>
    <row r="32" spans="1:6" s="51" customFormat="1">
      <c r="B32" s="155"/>
      <c r="C32" s="155"/>
      <c r="D32" s="155"/>
      <c r="E32" s="155"/>
    </row>
    <row r="33" spans="1:6" s="51" customFormat="1">
      <c r="B33" s="155"/>
      <c r="C33" s="155"/>
      <c r="D33" s="155"/>
      <c r="E33" s="155"/>
      <c r="F33" s="204"/>
    </row>
    <row r="34" spans="1:6" s="51" customFormat="1">
      <c r="B34" s="155"/>
      <c r="C34" s="155"/>
      <c r="D34" s="155"/>
      <c r="E34" s="155"/>
    </row>
    <row r="35" spans="1:6" s="51" customFormat="1" ht="23.25">
      <c r="A35" s="243"/>
      <c r="B35" s="244"/>
      <c r="C35" s="244"/>
      <c r="D35" s="244"/>
      <c r="E35" s="2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C22" sqref="C22"/>
    </sheetView>
  </sheetViews>
  <sheetFormatPr defaultColWidth="23.25" defaultRowHeight="22.5"/>
  <cols>
    <col min="1" max="1" width="25.875" style="22" customWidth="1"/>
    <col min="2" max="2" width="15" style="225" customWidth="1"/>
    <col min="3" max="5" width="13.75" style="225" customWidth="1"/>
    <col min="6" max="16384" width="23.25" style="22"/>
  </cols>
  <sheetData>
    <row r="1" spans="1:5" ht="23.25">
      <c r="A1" s="337" t="s">
        <v>339</v>
      </c>
      <c r="B1" s="337"/>
      <c r="C1" s="337"/>
      <c r="D1" s="337"/>
      <c r="E1" s="337"/>
    </row>
    <row r="2" spans="1:5" ht="23.25">
      <c r="A2" s="337" t="s">
        <v>441</v>
      </c>
      <c r="B2" s="337"/>
      <c r="C2" s="337"/>
      <c r="D2" s="337"/>
      <c r="E2" s="337"/>
    </row>
    <row r="3" spans="1:5" ht="23.25">
      <c r="A3" s="337" t="s">
        <v>442</v>
      </c>
      <c r="B3" s="337"/>
      <c r="C3" s="337"/>
      <c r="D3" s="337"/>
      <c r="E3" s="337"/>
    </row>
    <row r="4" spans="1:5">
      <c r="A4" s="250" t="s">
        <v>458</v>
      </c>
      <c r="B4" s="251" t="s">
        <v>443</v>
      </c>
      <c r="C4" s="252" t="s">
        <v>444</v>
      </c>
      <c r="D4" s="251" t="s">
        <v>445</v>
      </c>
      <c r="E4" s="253" t="s">
        <v>446</v>
      </c>
    </row>
    <row r="5" spans="1:5">
      <c r="A5" s="254"/>
      <c r="B5" s="255"/>
      <c r="C5" s="256"/>
      <c r="D5" s="255"/>
      <c r="E5" s="257"/>
    </row>
    <row r="6" spans="1:5" ht="23.25">
      <c r="A6" s="222" t="s">
        <v>447</v>
      </c>
      <c r="B6" s="236">
        <f>+ทรัพย์สิน54!E6</f>
        <v>8538277</v>
      </c>
      <c r="C6" s="155">
        <v>0</v>
      </c>
      <c r="D6" s="144">
        <v>0</v>
      </c>
      <c r="E6" s="237">
        <f>+B6+C15-D15</f>
        <v>8708277</v>
      </c>
    </row>
    <row r="7" spans="1:5">
      <c r="A7" s="223" t="s">
        <v>468</v>
      </c>
      <c r="B7" s="144">
        <f>+ทรัพย์สิน54!E7</f>
        <v>435900</v>
      </c>
      <c r="C7" s="155">
        <v>42000</v>
      </c>
      <c r="D7" s="144">
        <v>0</v>
      </c>
      <c r="E7" s="232">
        <f>+B7+C7-D7</f>
        <v>477900</v>
      </c>
    </row>
    <row r="8" spans="1:5">
      <c r="A8" s="35" t="s">
        <v>469</v>
      </c>
      <c r="B8" s="144">
        <f>+ทรัพย์สิน54!E8</f>
        <v>400000</v>
      </c>
      <c r="C8" s="155">
        <v>128000</v>
      </c>
      <c r="D8" s="144">
        <v>0</v>
      </c>
      <c r="E8" s="232">
        <f>+B8+C8-D8</f>
        <v>528000</v>
      </c>
    </row>
    <row r="9" spans="1:5">
      <c r="A9" s="35" t="s">
        <v>459</v>
      </c>
      <c r="B9" s="144">
        <f>+ทรัพย์สิน54!E9</f>
        <v>4399000</v>
      </c>
      <c r="C9" s="155">
        <v>0</v>
      </c>
      <c r="D9" s="144">
        <v>0</v>
      </c>
      <c r="E9" s="232">
        <f t="shared" ref="E9:E14" si="0">+B9+C9-D9</f>
        <v>4399000</v>
      </c>
    </row>
    <row r="10" spans="1:5">
      <c r="A10" s="35" t="s">
        <v>460</v>
      </c>
      <c r="B10" s="144">
        <f>+ทรัพย์สิน54!E10</f>
        <v>597000</v>
      </c>
      <c r="C10" s="155">
        <v>0</v>
      </c>
      <c r="D10" s="144">
        <v>0</v>
      </c>
      <c r="E10" s="232">
        <f t="shared" si="0"/>
        <v>597000</v>
      </c>
    </row>
    <row r="11" spans="1:5">
      <c r="A11" s="35" t="s">
        <v>461</v>
      </c>
      <c r="B11" s="144">
        <f>+ทรัพย์สิน54!E11</f>
        <v>15500</v>
      </c>
      <c r="C11" s="155">
        <v>0</v>
      </c>
      <c r="D11" s="144">
        <v>0</v>
      </c>
      <c r="E11" s="232">
        <f t="shared" si="0"/>
        <v>15500</v>
      </c>
    </row>
    <row r="12" spans="1:5">
      <c r="A12" s="35" t="s">
        <v>462</v>
      </c>
      <c r="B12" s="144">
        <f>+ทรัพย์สิน54!E12</f>
        <v>411500</v>
      </c>
      <c r="C12" s="155">
        <v>0</v>
      </c>
      <c r="D12" s="144">
        <v>0</v>
      </c>
      <c r="E12" s="232">
        <f t="shared" si="0"/>
        <v>411500</v>
      </c>
    </row>
    <row r="13" spans="1:5">
      <c r="A13" s="35" t="s">
        <v>464</v>
      </c>
      <c r="B13" s="144">
        <f>+ทรัพย์สิน54!E13</f>
        <v>411000</v>
      </c>
      <c r="C13" s="155">
        <v>0</v>
      </c>
      <c r="D13" s="144">
        <v>0</v>
      </c>
      <c r="E13" s="232">
        <f t="shared" si="0"/>
        <v>411000</v>
      </c>
    </row>
    <row r="14" spans="1:5">
      <c r="A14" s="35" t="s">
        <v>465</v>
      </c>
      <c r="B14" s="144">
        <f>+ทรัพย์สิน54!E14</f>
        <v>270175</v>
      </c>
      <c r="C14" s="155">
        <v>0</v>
      </c>
      <c r="D14" s="144">
        <v>0</v>
      </c>
      <c r="E14" s="232">
        <f t="shared" si="0"/>
        <v>270175</v>
      </c>
    </row>
    <row r="15" spans="1:5" ht="23.25" thickBot="1">
      <c r="A15" s="35"/>
      <c r="B15" s="239"/>
      <c r="C15" s="240">
        <f>SUM(C7:C14)</f>
        <v>170000</v>
      </c>
      <c r="D15" s="239">
        <f>SUM(D7:D14)</f>
        <v>0</v>
      </c>
      <c r="E15" s="239"/>
    </row>
    <row r="16" spans="1:5" ht="24" thickTop="1">
      <c r="A16" s="222" t="s">
        <v>448</v>
      </c>
      <c r="B16" s="236">
        <f>+ทรัพย์สิน54!E16</f>
        <v>4666480</v>
      </c>
      <c r="C16" s="155"/>
      <c r="D16" s="144"/>
      <c r="E16" s="237">
        <f>+B16+C27-D27</f>
        <v>5055619.0999999996</v>
      </c>
    </row>
    <row r="17" spans="1:6">
      <c r="A17" s="223" t="s">
        <v>449</v>
      </c>
      <c r="B17" s="144">
        <f>+ทรัพย์สิน54!E17</f>
        <v>214380</v>
      </c>
      <c r="C17" s="155">
        <f>10400+25900+45500+14500+8700</f>
        <v>105000</v>
      </c>
      <c r="D17" s="144">
        <v>0</v>
      </c>
      <c r="E17" s="232">
        <f>+B17+C17-D17</f>
        <v>319380</v>
      </c>
    </row>
    <row r="18" spans="1:6">
      <c r="A18" s="223" t="s">
        <v>450</v>
      </c>
      <c r="B18" s="144">
        <f>+ทรัพย์สิน54!E18</f>
        <v>115700</v>
      </c>
      <c r="C18" s="155">
        <f>9000</f>
        <v>9000</v>
      </c>
      <c r="D18" s="144">
        <v>0</v>
      </c>
      <c r="E18" s="232">
        <f t="shared" ref="E18:E26" si="1">+B18+C18-D18</f>
        <v>124700</v>
      </c>
    </row>
    <row r="19" spans="1:6">
      <c r="A19" s="223" t="s">
        <v>451</v>
      </c>
      <c r="B19" s="144">
        <f>+ทรัพย์สิน54!E19</f>
        <v>611100</v>
      </c>
      <c r="C19" s="155">
        <f>4640</f>
        <v>4640</v>
      </c>
      <c r="D19" s="144">
        <v>0</v>
      </c>
      <c r="E19" s="232">
        <f t="shared" si="1"/>
        <v>615740</v>
      </c>
      <c r="F19" s="238">
        <f>+B16+C27-D27+E6</f>
        <v>13763896.1</v>
      </c>
    </row>
    <row r="20" spans="1:6">
      <c r="A20" s="223" t="s">
        <v>452</v>
      </c>
      <c r="B20" s="144">
        <f>+ทรัพย์สิน54!E20</f>
        <v>412345</v>
      </c>
      <c r="C20" s="155">
        <f>95800+47187</f>
        <v>142987</v>
      </c>
      <c r="D20" s="144">
        <v>0</v>
      </c>
      <c r="E20" s="232">
        <f t="shared" si="1"/>
        <v>555332</v>
      </c>
    </row>
    <row r="21" spans="1:6">
      <c r="A21" s="223" t="s">
        <v>453</v>
      </c>
      <c r="B21" s="144">
        <f>+ทรัพย์สิน54!E21</f>
        <v>28500</v>
      </c>
      <c r="C21" s="155">
        <f>21432.1+15000</f>
        <v>36432.1</v>
      </c>
      <c r="D21" s="144">
        <v>0</v>
      </c>
      <c r="E21" s="232">
        <f t="shared" si="1"/>
        <v>64932.1</v>
      </c>
    </row>
    <row r="22" spans="1:6">
      <c r="A22" s="223" t="s">
        <v>454</v>
      </c>
      <c r="B22" s="144">
        <f>+ทรัพย์สิน54!E22</f>
        <v>195500</v>
      </c>
      <c r="C22" s="155">
        <f>14400</f>
        <v>14400</v>
      </c>
      <c r="D22" s="144">
        <v>0</v>
      </c>
      <c r="E22" s="232">
        <f t="shared" si="1"/>
        <v>209900</v>
      </c>
    </row>
    <row r="23" spans="1:6">
      <c r="A23" s="223" t="s">
        <v>455</v>
      </c>
      <c r="B23" s="144">
        <f>+ทรัพย์สิน54!E23</f>
        <v>120200</v>
      </c>
      <c r="C23" s="155">
        <f>39500</f>
        <v>39500</v>
      </c>
      <c r="D23" s="144">
        <v>0</v>
      </c>
      <c r="E23" s="232">
        <f t="shared" si="1"/>
        <v>159700</v>
      </c>
    </row>
    <row r="24" spans="1:6">
      <c r="A24" s="223" t="s">
        <v>456</v>
      </c>
      <c r="B24" s="144">
        <f>+ทรัพย์สิน54!E24</f>
        <v>1046500</v>
      </c>
      <c r="C24" s="155">
        <v>37180</v>
      </c>
      <c r="D24" s="144">
        <v>0</v>
      </c>
      <c r="E24" s="232">
        <f t="shared" si="1"/>
        <v>1083680</v>
      </c>
    </row>
    <row r="25" spans="1:6">
      <c r="A25" s="223" t="s">
        <v>470</v>
      </c>
      <c r="B25" s="144">
        <f>+ทรัพย์สิน54!E25</f>
        <v>199000</v>
      </c>
      <c r="C25" s="155">
        <v>0</v>
      </c>
      <c r="D25" s="144">
        <v>0</v>
      </c>
      <c r="E25" s="232">
        <f t="shared" si="1"/>
        <v>199000</v>
      </c>
    </row>
    <row r="26" spans="1:6">
      <c r="A26" s="223" t="s">
        <v>471</v>
      </c>
      <c r="B26" s="144">
        <f>+ทรัพย์สิน54!E26</f>
        <v>26000</v>
      </c>
      <c r="C26" s="155">
        <v>0</v>
      </c>
      <c r="D26" s="144">
        <v>0</v>
      </c>
      <c r="E26" s="232">
        <f t="shared" si="1"/>
        <v>26000</v>
      </c>
    </row>
    <row r="27" spans="1:6" ht="23.25" thickBot="1">
      <c r="A27" s="223"/>
      <c r="B27" s="239"/>
      <c r="C27" s="240">
        <f>SUM(C17:C26)</f>
        <v>389139.1</v>
      </c>
      <c r="D27" s="239">
        <f>SUM(D17:D26)</f>
        <v>0</v>
      </c>
      <c r="E27" s="241"/>
      <c r="F27" s="238">
        <f>+E6+E16</f>
        <v>13763896.1</v>
      </c>
    </row>
    <row r="28" spans="1:6" ht="23.25" thickTop="1">
      <c r="A28" s="35"/>
      <c r="B28" s="144"/>
      <c r="C28" s="155"/>
      <c r="D28" s="144"/>
      <c r="E28" s="232"/>
    </row>
    <row r="29" spans="1:6" ht="24" thickBot="1">
      <c r="A29" s="224" t="s">
        <v>9</v>
      </c>
      <c r="B29" s="233">
        <f>+B6+B16</f>
        <v>13204757</v>
      </c>
      <c r="C29" s="234">
        <f>SUM(C15+C27)</f>
        <v>559139.1</v>
      </c>
      <c r="D29" s="233">
        <f>SUM(D7:D28)</f>
        <v>0</v>
      </c>
      <c r="E29" s="235">
        <f>+E6+E16</f>
        <v>13763896.1</v>
      </c>
    </row>
    <row r="30" spans="1:6" s="51" customFormat="1" ht="23.25" thickTop="1">
      <c r="A30" s="242"/>
      <c r="B30" s="155"/>
      <c r="C30" s="155"/>
      <c r="D30" s="155"/>
      <c r="E30" s="155"/>
    </row>
    <row r="31" spans="1:6" s="51" customFormat="1">
      <c r="B31" s="155"/>
      <c r="C31" s="155"/>
      <c r="D31" s="155"/>
      <c r="E31" s="155"/>
    </row>
    <row r="32" spans="1:6" s="51" customFormat="1">
      <c r="B32" s="155"/>
      <c r="C32" s="155"/>
      <c r="D32" s="155"/>
      <c r="E32" s="155"/>
    </row>
    <row r="33" spans="1:6" s="51" customFormat="1">
      <c r="B33" s="155"/>
      <c r="C33" s="155"/>
      <c r="D33" s="155"/>
      <c r="E33" s="155"/>
      <c r="F33" s="204"/>
    </row>
    <row r="34" spans="1:6" s="51" customFormat="1">
      <c r="B34" s="155"/>
      <c r="C34" s="155"/>
      <c r="D34" s="155"/>
      <c r="E34" s="155"/>
    </row>
    <row r="35" spans="1:6" s="51" customFormat="1" ht="23.25">
      <c r="A35" s="243"/>
      <c r="B35" s="244"/>
      <c r="C35" s="244"/>
      <c r="D35" s="244"/>
      <c r="E35" s="2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30"/>
  <sheetViews>
    <sheetView topLeftCell="A4" workbookViewId="0">
      <selection activeCell="D28" sqref="D28"/>
    </sheetView>
  </sheetViews>
  <sheetFormatPr defaultRowHeight="14.25"/>
  <cols>
    <col min="1" max="1" width="32.875" customWidth="1"/>
    <col min="2" max="2" width="16.75" customWidth="1"/>
    <col min="3" max="3" width="20.625" customWidth="1"/>
    <col min="4" max="4" width="14.625" customWidth="1"/>
  </cols>
  <sheetData>
    <row r="1" spans="1:4" ht="23.25">
      <c r="A1" s="326" t="s">
        <v>339</v>
      </c>
      <c r="B1" s="326"/>
      <c r="C1" s="326"/>
      <c r="D1" s="326"/>
    </row>
    <row r="2" spans="1:4" ht="23.25">
      <c r="A2" s="326" t="s">
        <v>473</v>
      </c>
      <c r="B2" s="326"/>
      <c r="C2" s="326"/>
      <c r="D2" s="326"/>
    </row>
    <row r="3" spans="1:4" ht="23.25">
      <c r="A3" s="326" t="s">
        <v>248</v>
      </c>
      <c r="B3" s="326"/>
      <c r="C3" s="326"/>
      <c r="D3" s="326"/>
    </row>
    <row r="4" spans="1:4" ht="22.5">
      <c r="A4" s="6" t="s">
        <v>458</v>
      </c>
      <c r="B4" s="6" t="s">
        <v>474</v>
      </c>
      <c r="C4" s="306" t="s">
        <v>475</v>
      </c>
      <c r="D4" s="307"/>
    </row>
    <row r="5" spans="1:4" ht="22.5">
      <c r="A5" s="7"/>
      <c r="B5" s="345"/>
      <c r="C5" s="346" t="s">
        <v>476</v>
      </c>
      <c r="D5" s="345" t="s">
        <v>256</v>
      </c>
    </row>
    <row r="6" spans="1:4" ht="23.25">
      <c r="A6" s="347" t="s">
        <v>447</v>
      </c>
      <c r="B6" s="115"/>
      <c r="C6" s="348"/>
      <c r="D6" s="115"/>
    </row>
    <row r="7" spans="1:4" ht="22.5">
      <c r="A7" s="113" t="s">
        <v>631</v>
      </c>
      <c r="B7" s="116">
        <v>0</v>
      </c>
      <c r="C7" s="114" t="s">
        <v>632</v>
      </c>
      <c r="D7" s="116">
        <f>+B26-D8-D9</f>
        <v>5970900</v>
      </c>
    </row>
    <row r="8" spans="1:4" ht="22.5">
      <c r="A8" s="113" t="s">
        <v>633</v>
      </c>
      <c r="B8" s="116">
        <v>400000</v>
      </c>
      <c r="C8" s="114" t="s">
        <v>634</v>
      </c>
      <c r="D8" s="116">
        <v>614000</v>
      </c>
    </row>
    <row r="9" spans="1:4" ht="22.5">
      <c r="A9" s="113" t="s">
        <v>635</v>
      </c>
      <c r="B9" s="116">
        <v>4399000</v>
      </c>
      <c r="C9" s="114" t="s">
        <v>636</v>
      </c>
      <c r="D9" s="116">
        <v>605500</v>
      </c>
    </row>
    <row r="10" spans="1:4" ht="22.5">
      <c r="A10" s="113" t="s">
        <v>637</v>
      </c>
      <c r="B10" s="116">
        <v>597000</v>
      </c>
      <c r="C10" s="114"/>
      <c r="D10" s="116"/>
    </row>
    <row r="11" spans="1:4" ht="22.5">
      <c r="A11" s="113" t="s">
        <v>638</v>
      </c>
      <c r="B11" s="116">
        <v>15500</v>
      </c>
      <c r="C11" s="114"/>
      <c r="D11" s="116"/>
    </row>
    <row r="12" spans="1:4" ht="22.5">
      <c r="A12" s="113" t="s">
        <v>639</v>
      </c>
      <c r="B12" s="116">
        <v>411500</v>
      </c>
      <c r="C12" s="114"/>
      <c r="D12" s="116"/>
    </row>
    <row r="13" spans="1:4" ht="22.5">
      <c r="A13" s="113" t="s">
        <v>640</v>
      </c>
      <c r="B13" s="116">
        <v>0</v>
      </c>
      <c r="C13" s="114"/>
      <c r="D13" s="116"/>
    </row>
    <row r="14" spans="1:4" ht="22.5">
      <c r="A14" s="113" t="s">
        <v>641</v>
      </c>
      <c r="B14" s="116">
        <v>0</v>
      </c>
      <c r="C14" s="114"/>
      <c r="D14" s="116"/>
    </row>
    <row r="15" spans="1:4" ht="23.25">
      <c r="A15" s="347" t="s">
        <v>448</v>
      </c>
      <c r="B15" s="116"/>
      <c r="C15" s="114"/>
      <c r="D15" s="116"/>
    </row>
    <row r="16" spans="1:4" ht="22.5">
      <c r="A16" s="113" t="s">
        <v>449</v>
      </c>
      <c r="B16" s="116">
        <v>116300</v>
      </c>
      <c r="C16" s="114"/>
      <c r="D16" s="116"/>
    </row>
    <row r="17" spans="1:4" ht="22.5">
      <c r="A17" s="113" t="s">
        <v>450</v>
      </c>
      <c r="B17" s="116">
        <v>99800</v>
      </c>
      <c r="C17" s="114"/>
      <c r="D17" s="116"/>
    </row>
    <row r="18" spans="1:4" ht="22.5">
      <c r="A18" s="113" t="s">
        <v>451</v>
      </c>
      <c r="B18" s="116">
        <v>133500</v>
      </c>
      <c r="C18" s="114"/>
      <c r="D18" s="116"/>
    </row>
    <row r="19" spans="1:4" ht="22.5">
      <c r="A19" s="113" t="s">
        <v>452</v>
      </c>
      <c r="B19" s="116">
        <v>232000</v>
      </c>
      <c r="C19" s="114"/>
      <c r="D19" s="116"/>
    </row>
    <row r="20" spans="1:4" ht="22.5">
      <c r="A20" s="113" t="s">
        <v>453</v>
      </c>
      <c r="B20" s="116">
        <v>0</v>
      </c>
      <c r="C20" s="114"/>
      <c r="D20" s="116"/>
    </row>
    <row r="21" spans="1:4" ht="22.5">
      <c r="A21" s="113" t="s">
        <v>454</v>
      </c>
      <c r="B21" s="116">
        <v>0</v>
      </c>
      <c r="C21" s="114"/>
      <c r="D21" s="116"/>
    </row>
    <row r="22" spans="1:4" ht="22.5">
      <c r="A22" s="113" t="s">
        <v>455</v>
      </c>
      <c r="B22" s="116">
        <v>6800</v>
      </c>
      <c r="C22" s="114"/>
      <c r="D22" s="116"/>
    </row>
    <row r="23" spans="1:4" ht="22.5">
      <c r="A23" s="113" t="s">
        <v>456</v>
      </c>
      <c r="B23" s="116">
        <v>779000</v>
      </c>
      <c r="C23" s="114"/>
      <c r="D23" s="116"/>
    </row>
    <row r="24" spans="1:4" ht="22.5">
      <c r="A24" s="113" t="s">
        <v>470</v>
      </c>
      <c r="B24" s="116">
        <v>0</v>
      </c>
      <c r="C24" s="114"/>
      <c r="D24" s="116"/>
    </row>
    <row r="25" spans="1:4" ht="22.5">
      <c r="A25" s="113" t="s">
        <v>642</v>
      </c>
      <c r="B25" s="116">
        <v>0</v>
      </c>
      <c r="C25" s="114"/>
      <c r="D25" s="116"/>
    </row>
    <row r="26" spans="1:4" ht="24" thickBot="1">
      <c r="A26" s="349" t="s">
        <v>9</v>
      </c>
      <c r="B26" s="350">
        <f>SUM(B7:B25)</f>
        <v>7190400</v>
      </c>
      <c r="C26" s="351"/>
      <c r="D26" s="350">
        <f>SUM(D7:D25)</f>
        <v>7190400</v>
      </c>
    </row>
    <row r="27" spans="1:4" ht="23.25" thickTop="1">
      <c r="A27" s="1"/>
      <c r="B27" s="112"/>
      <c r="C27" s="112"/>
      <c r="D27" s="112"/>
    </row>
    <row r="28" spans="1:4" ht="22.5">
      <c r="A28" s="1" t="s">
        <v>643</v>
      </c>
      <c r="B28" s="112"/>
      <c r="C28" s="112"/>
      <c r="D28" s="112"/>
    </row>
    <row r="29" spans="1:4" ht="22.5">
      <c r="A29" s="1" t="s">
        <v>644</v>
      </c>
      <c r="B29" s="112"/>
      <c r="C29" s="112"/>
      <c r="D29" s="112"/>
    </row>
    <row r="30" spans="1:4" ht="22.5">
      <c r="A30" s="1" t="s">
        <v>645</v>
      </c>
      <c r="B30" s="112"/>
      <c r="C30" s="112"/>
      <c r="D30" s="112"/>
    </row>
  </sheetData>
  <mergeCells count="4">
    <mergeCell ref="A1:D1"/>
    <mergeCell ref="A2:D2"/>
    <mergeCell ref="A3:D3"/>
    <mergeCell ref="C4:D4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C9" sqref="C9"/>
    </sheetView>
  </sheetViews>
  <sheetFormatPr defaultRowHeight="14.25"/>
  <cols>
    <col min="1" max="1" width="28.375" customWidth="1"/>
    <col min="2" max="2" width="15.75" customWidth="1"/>
    <col min="3" max="3" width="12.75" customWidth="1"/>
    <col min="4" max="4" width="13.125" customWidth="1"/>
    <col min="5" max="5" width="14.25" customWidth="1"/>
  </cols>
  <sheetData>
    <row r="1" spans="1:5" ht="23.25">
      <c r="A1" s="337" t="s">
        <v>339</v>
      </c>
      <c r="B1" s="337"/>
      <c r="C1" s="337"/>
      <c r="D1" s="337"/>
      <c r="E1" s="337"/>
    </row>
    <row r="2" spans="1:5" ht="23.25">
      <c r="A2" s="337" t="s">
        <v>441</v>
      </c>
      <c r="B2" s="337"/>
      <c r="C2" s="337"/>
      <c r="D2" s="337"/>
      <c r="E2" s="337"/>
    </row>
    <row r="3" spans="1:5" ht="23.25">
      <c r="A3" s="337" t="s">
        <v>248</v>
      </c>
      <c r="B3" s="337"/>
      <c r="C3" s="337"/>
      <c r="D3" s="337"/>
      <c r="E3" s="337"/>
    </row>
    <row r="4" spans="1:5" ht="22.5">
      <c r="A4" s="22"/>
      <c r="B4" s="225"/>
      <c r="C4" s="225"/>
      <c r="D4" s="225"/>
      <c r="E4" s="225"/>
    </row>
    <row r="5" spans="1:5" ht="22.5">
      <c r="A5" s="48" t="s">
        <v>458</v>
      </c>
      <c r="B5" s="226" t="s">
        <v>443</v>
      </c>
      <c r="C5" s="227" t="s">
        <v>444</v>
      </c>
      <c r="D5" s="226" t="s">
        <v>445</v>
      </c>
      <c r="E5" s="228" t="s">
        <v>446</v>
      </c>
    </row>
    <row r="6" spans="1:5" ht="22.5">
      <c r="A6" s="221"/>
      <c r="B6" s="229"/>
      <c r="C6" s="230"/>
      <c r="D6" s="229"/>
      <c r="E6" s="231"/>
    </row>
    <row r="7" spans="1:5" ht="23.25">
      <c r="A7" s="342" t="s">
        <v>447</v>
      </c>
      <c r="B7" s="236"/>
      <c r="C7" s="155"/>
      <c r="D7" s="144"/>
      <c r="E7" s="237"/>
    </row>
    <row r="8" spans="1:5" ht="22.5">
      <c r="A8" s="343" t="s">
        <v>468</v>
      </c>
      <c r="B8" s="144">
        <f>+ทรัพย์สิน50!E8</f>
        <v>0</v>
      </c>
      <c r="C8" s="155">
        <v>0</v>
      </c>
      <c r="D8" s="144">
        <v>0</v>
      </c>
      <c r="E8" s="232">
        <f>+B8+C8-D8</f>
        <v>0</v>
      </c>
    </row>
    <row r="9" spans="1:5" ht="22.5">
      <c r="A9" s="52" t="s">
        <v>469</v>
      </c>
      <c r="B9" s="144">
        <f>+ทรัพย์สิน50!E9</f>
        <v>400000</v>
      </c>
      <c r="C9" s="155"/>
      <c r="D9" s="144">
        <v>0</v>
      </c>
      <c r="E9" s="232">
        <f>+B9+C9-D9</f>
        <v>400000</v>
      </c>
    </row>
    <row r="10" spans="1:5" ht="22.5">
      <c r="A10" s="52" t="s">
        <v>459</v>
      </c>
      <c r="B10" s="144">
        <f>+ทรัพย์สิน50!E10</f>
        <v>3359000</v>
      </c>
      <c r="C10" s="155">
        <f>1040000</f>
        <v>1040000</v>
      </c>
      <c r="D10" s="144">
        <v>0</v>
      </c>
      <c r="E10" s="232">
        <f t="shared" ref="E10:E13" si="0">+B10+C10-D10</f>
        <v>4399000</v>
      </c>
    </row>
    <row r="11" spans="1:5" ht="22.5">
      <c r="A11" s="52" t="s">
        <v>460</v>
      </c>
      <c r="B11" s="144">
        <f>+ทรัพย์สิน50!E11</f>
        <v>597000</v>
      </c>
      <c r="C11" s="155"/>
      <c r="D11" s="144">
        <v>0</v>
      </c>
      <c r="E11" s="232">
        <f t="shared" si="0"/>
        <v>597000</v>
      </c>
    </row>
    <row r="12" spans="1:5" ht="22.5">
      <c r="A12" s="52" t="s">
        <v>461</v>
      </c>
      <c r="B12" s="144">
        <f>+ทรัพย์สิน50!E12</f>
        <v>15500</v>
      </c>
      <c r="C12" s="155"/>
      <c r="D12" s="144">
        <v>0</v>
      </c>
      <c r="E12" s="232">
        <f t="shared" si="0"/>
        <v>15500</v>
      </c>
    </row>
    <row r="13" spans="1:5" ht="22.5">
      <c r="A13" s="52" t="s">
        <v>462</v>
      </c>
      <c r="B13" s="144">
        <v>0</v>
      </c>
      <c r="C13" s="155">
        <v>411500</v>
      </c>
      <c r="D13" s="144">
        <v>0</v>
      </c>
      <c r="E13" s="232">
        <f t="shared" si="0"/>
        <v>411500</v>
      </c>
    </row>
    <row r="14" spans="1:5" ht="23.25">
      <c r="A14" s="342" t="s">
        <v>448</v>
      </c>
      <c r="B14" s="236"/>
      <c r="C14" s="155"/>
      <c r="D14" s="144"/>
      <c r="E14" s="237"/>
    </row>
    <row r="15" spans="1:5" ht="22.5">
      <c r="A15" s="343" t="s">
        <v>449</v>
      </c>
      <c r="B15" s="144">
        <f>+ทรัพย์สิน50!E17</f>
        <v>75500</v>
      </c>
      <c r="C15" s="155">
        <f>4200+1500+4200+1500+6000+8400+15000</f>
        <v>40800</v>
      </c>
      <c r="D15" s="144">
        <v>0</v>
      </c>
      <c r="E15" s="232">
        <f>+B15+C15-D15</f>
        <v>116300</v>
      </c>
    </row>
    <row r="16" spans="1:5" ht="22.5">
      <c r="A16" s="343" t="s">
        <v>450</v>
      </c>
      <c r="B16" s="144">
        <f>+ทรัพย์สิน50!E18</f>
        <v>0</v>
      </c>
      <c r="C16" s="155">
        <f>99800</f>
        <v>99800</v>
      </c>
      <c r="D16" s="144">
        <v>0</v>
      </c>
      <c r="E16" s="232">
        <f t="shared" ref="E16:E22" si="1">+B16+C16-D16</f>
        <v>99800</v>
      </c>
    </row>
    <row r="17" spans="1:5" ht="22.5">
      <c r="A17" s="343" t="s">
        <v>451</v>
      </c>
      <c r="B17" s="144">
        <f>+ทรัพย์สิน50!E19</f>
        <v>95000</v>
      </c>
      <c r="C17" s="155">
        <f>38500</f>
        <v>38500</v>
      </c>
      <c r="D17" s="144">
        <v>0</v>
      </c>
      <c r="E17" s="232">
        <f t="shared" si="1"/>
        <v>133500</v>
      </c>
    </row>
    <row r="18" spans="1:5" ht="22.5">
      <c r="A18" s="343" t="s">
        <v>452</v>
      </c>
      <c r="B18" s="144">
        <f>+ทรัพย์สิน50!E20</f>
        <v>0</v>
      </c>
      <c r="C18" s="155">
        <f>232000</f>
        <v>232000</v>
      </c>
      <c r="D18" s="144">
        <v>0</v>
      </c>
      <c r="E18" s="144">
        <f t="shared" si="1"/>
        <v>232000</v>
      </c>
    </row>
    <row r="19" spans="1:5" ht="22.5">
      <c r="A19" s="343" t="s">
        <v>453</v>
      </c>
      <c r="B19" s="144">
        <f>+ทรัพย์สิน50!E21</f>
        <v>0</v>
      </c>
      <c r="C19" s="155">
        <v>0</v>
      </c>
      <c r="D19" s="144">
        <v>0</v>
      </c>
      <c r="E19" s="144">
        <f t="shared" si="1"/>
        <v>0</v>
      </c>
    </row>
    <row r="20" spans="1:5" ht="22.5">
      <c r="A20" s="343" t="s">
        <v>454</v>
      </c>
      <c r="B20" s="144">
        <f>+ทรัพย์สิน50!E22</f>
        <v>0</v>
      </c>
      <c r="C20" s="155">
        <v>0</v>
      </c>
      <c r="D20" s="144">
        <v>0</v>
      </c>
      <c r="E20" s="144">
        <f t="shared" si="1"/>
        <v>0</v>
      </c>
    </row>
    <row r="21" spans="1:5" ht="22.5">
      <c r="A21" s="343" t="s">
        <v>455</v>
      </c>
      <c r="B21" s="144">
        <f>+ทรัพย์สิน50!E23</f>
        <v>0</v>
      </c>
      <c r="C21" s="155">
        <f>6800</f>
        <v>6800</v>
      </c>
      <c r="D21" s="144">
        <v>0</v>
      </c>
      <c r="E21" s="144">
        <f t="shared" si="1"/>
        <v>6800</v>
      </c>
    </row>
    <row r="22" spans="1:5" ht="22.5">
      <c r="A22" s="343" t="s">
        <v>456</v>
      </c>
      <c r="B22" s="144">
        <f>+ทรัพย์สิน50!E24</f>
        <v>779000</v>
      </c>
      <c r="C22" s="155">
        <v>0</v>
      </c>
      <c r="D22" s="144">
        <v>0</v>
      </c>
      <c r="E22" s="144">
        <f t="shared" si="1"/>
        <v>779000</v>
      </c>
    </row>
    <row r="23" spans="1:5" s="341" customFormat="1" ht="22.5">
      <c r="A23" s="343"/>
      <c r="B23" s="144"/>
      <c r="C23" s="155"/>
      <c r="D23" s="144"/>
      <c r="E23" s="144"/>
    </row>
    <row r="24" spans="1:5" s="341" customFormat="1" ht="22.5">
      <c r="A24" s="52"/>
      <c r="B24" s="144"/>
      <c r="C24" s="155"/>
      <c r="D24" s="144"/>
      <c r="E24" s="144"/>
    </row>
    <row r="25" spans="1:5" ht="24" thickBot="1">
      <c r="A25" s="344" t="s">
        <v>9</v>
      </c>
      <c r="B25" s="233">
        <f>+ทรัพย์สิน50!E28</f>
        <v>8616457</v>
      </c>
      <c r="C25" s="234">
        <f>SUM(C8:C24)</f>
        <v>1869400</v>
      </c>
      <c r="D25" s="233">
        <f>SUM(D8:D24)</f>
        <v>0</v>
      </c>
      <c r="E25" s="233">
        <f>SUM(E8:E24)</f>
        <v>7190400</v>
      </c>
    </row>
    <row r="26" spans="1:5" ht="23.25" thickTop="1">
      <c r="A26" s="242"/>
      <c r="B26" s="155"/>
      <c r="C26" s="155"/>
      <c r="D26" s="155"/>
      <c r="E26" s="155"/>
    </row>
    <row r="27" spans="1:5" ht="22.5">
      <c r="A27" s="51"/>
      <c r="B27" s="155"/>
      <c r="C27" s="155"/>
      <c r="D27" s="155"/>
      <c r="E27" s="155"/>
    </row>
    <row r="28" spans="1:5" ht="22.5">
      <c r="A28" s="51"/>
      <c r="B28" s="155"/>
      <c r="C28" s="155"/>
      <c r="D28" s="155"/>
      <c r="E28" s="155"/>
    </row>
    <row r="29" spans="1:5" ht="22.5">
      <c r="A29" s="51"/>
      <c r="B29" s="155"/>
      <c r="C29" s="155"/>
      <c r="D29" s="155"/>
      <c r="E29" s="155"/>
    </row>
    <row r="30" spans="1:5" ht="22.5">
      <c r="A30" s="51"/>
      <c r="B30" s="155"/>
      <c r="C30" s="155"/>
      <c r="D30" s="155"/>
      <c r="E30" s="155"/>
    </row>
    <row r="31" spans="1:5" ht="23.25">
      <c r="A31" s="304"/>
      <c r="B31" s="244"/>
      <c r="C31" s="244"/>
      <c r="D31" s="244"/>
      <c r="E31" s="24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A5" sqref="A5:C5"/>
    </sheetView>
  </sheetViews>
  <sheetFormatPr defaultRowHeight="22.5"/>
  <cols>
    <col min="1" max="1" width="42.125" style="1" customWidth="1"/>
    <col min="2" max="2" width="19.125" style="1" customWidth="1"/>
    <col min="3" max="3" width="18.75" style="1" customWidth="1"/>
    <col min="4" max="16384" width="9" style="1"/>
  </cols>
  <sheetData>
    <row r="1" spans="1:3" ht="23.25">
      <c r="A1" s="337" t="s">
        <v>339</v>
      </c>
      <c r="B1" s="337"/>
      <c r="C1" s="337"/>
    </row>
    <row r="2" spans="1:3" ht="23.25">
      <c r="A2" s="337" t="s">
        <v>247</v>
      </c>
      <c r="B2" s="337"/>
      <c r="C2" s="337"/>
    </row>
    <row r="3" spans="1:3" ht="23.25">
      <c r="A3" s="337" t="s">
        <v>248</v>
      </c>
      <c r="B3" s="337"/>
      <c r="C3" s="337"/>
    </row>
    <row r="4" spans="1:3">
      <c r="A4" s="22"/>
      <c r="B4" s="22"/>
      <c r="C4" s="22"/>
    </row>
    <row r="5" spans="1:3" ht="23.25">
      <c r="A5" s="337" t="s">
        <v>497</v>
      </c>
      <c r="B5" s="337"/>
      <c r="C5" s="337"/>
    </row>
    <row r="6" spans="1:3">
      <c r="A6" s="22"/>
      <c r="B6" s="22"/>
      <c r="C6" s="22"/>
    </row>
    <row r="7" spans="1:3" ht="23.25" thickBot="1">
      <c r="A7" s="22" t="s">
        <v>498</v>
      </c>
      <c r="B7" s="22"/>
      <c r="C7" s="263">
        <v>719400</v>
      </c>
    </row>
    <row r="8" spans="1:3" ht="23.25" thickTop="1">
      <c r="A8" s="22" t="s">
        <v>500</v>
      </c>
      <c r="B8" s="22" t="s">
        <v>499</v>
      </c>
      <c r="C8" s="38">
        <v>28835779.98</v>
      </c>
    </row>
    <row r="9" spans="1:3">
      <c r="A9" s="22" t="s">
        <v>162</v>
      </c>
      <c r="B9" s="22"/>
      <c r="C9" s="38">
        <v>1.1399999999999999</v>
      </c>
    </row>
    <row r="10" spans="1:3">
      <c r="A10" s="22" t="s">
        <v>165</v>
      </c>
      <c r="B10" s="22"/>
      <c r="C10" s="168">
        <v>9670</v>
      </c>
    </row>
    <row r="11" spans="1:3">
      <c r="A11" s="22"/>
      <c r="B11" s="22"/>
      <c r="C11" s="168"/>
    </row>
    <row r="12" spans="1:3" ht="24" thickBot="1">
      <c r="A12" s="249" t="s">
        <v>9</v>
      </c>
      <c r="B12" s="165"/>
      <c r="C12" s="264">
        <f>SUM(C8:C11)</f>
        <v>28845451.120000001</v>
      </c>
    </row>
    <row r="13" spans="1:3" ht="23.25" thickTop="1">
      <c r="A13" s="22"/>
      <c r="B13" s="22"/>
      <c r="C13" s="22"/>
    </row>
    <row r="14" spans="1:3" ht="23.25">
      <c r="A14" s="337" t="s">
        <v>502</v>
      </c>
      <c r="B14" s="337"/>
      <c r="C14" s="337"/>
    </row>
    <row r="15" spans="1:3">
      <c r="A15" s="22"/>
      <c r="B15" s="22"/>
      <c r="C15" s="22"/>
    </row>
    <row r="16" spans="1:3" ht="23.25" thickBot="1">
      <c r="A16" s="22" t="s">
        <v>503</v>
      </c>
      <c r="B16" s="22"/>
      <c r="C16" s="263">
        <f>+C7</f>
        <v>719400</v>
      </c>
    </row>
    <row r="17" spans="1:3" ht="23.25" thickTop="1">
      <c r="A17" s="22" t="s">
        <v>64</v>
      </c>
      <c r="B17" s="22"/>
      <c r="C17" s="168">
        <v>2042200</v>
      </c>
    </row>
    <row r="18" spans="1:3">
      <c r="A18" s="22" t="s">
        <v>504</v>
      </c>
      <c r="B18" s="22" t="s">
        <v>501</v>
      </c>
      <c r="C18" s="168">
        <v>1269857.8600000001</v>
      </c>
    </row>
    <row r="19" spans="1:3">
      <c r="A19" s="22" t="s">
        <v>505</v>
      </c>
      <c r="B19" s="22"/>
      <c r="C19" s="168">
        <v>1911669.39</v>
      </c>
    </row>
    <row r="20" spans="1:3">
      <c r="A20" s="22" t="s">
        <v>65</v>
      </c>
      <c r="B20" s="22"/>
      <c r="C20" s="168">
        <v>23621723.870000001</v>
      </c>
    </row>
    <row r="21" spans="1:3">
      <c r="A21" s="22"/>
      <c r="B21" s="22"/>
      <c r="C21" s="168"/>
    </row>
    <row r="22" spans="1:3">
      <c r="A22" s="22"/>
      <c r="B22" s="22"/>
      <c r="C22" s="168"/>
    </row>
    <row r="23" spans="1:3" ht="24" thickBot="1">
      <c r="A23" s="249" t="s">
        <v>9</v>
      </c>
      <c r="B23" s="165"/>
      <c r="C23" s="264">
        <f>SUM(C17:C22)</f>
        <v>28845451.120000001</v>
      </c>
    </row>
    <row r="24" spans="1:3" ht="23.25" thickTop="1">
      <c r="A24" s="265"/>
      <c r="B24" s="22"/>
      <c r="C24" s="38"/>
    </row>
    <row r="25" spans="1:3">
      <c r="A25" s="265"/>
      <c r="B25" s="22"/>
      <c r="C25" s="38"/>
    </row>
    <row r="26" spans="1:3" s="22" customFormat="1">
      <c r="A26" s="265" t="s">
        <v>646</v>
      </c>
    </row>
    <row r="27" spans="1:3" s="22" customFormat="1">
      <c r="A27" s="22" t="s">
        <v>647</v>
      </c>
    </row>
    <row r="28" spans="1:3" s="22" customFormat="1">
      <c r="A28" s="22" t="s">
        <v>648</v>
      </c>
    </row>
  </sheetData>
  <mergeCells count="5">
    <mergeCell ref="A1:C1"/>
    <mergeCell ref="A2:C2"/>
    <mergeCell ref="A3:C3"/>
    <mergeCell ref="A5:C5"/>
    <mergeCell ref="A14:C14"/>
  </mergeCells>
  <pageMargins left="0.7" right="0.7" top="0.75" bottom="0.75" header="0.3" footer="0.3"/>
  <pageSetup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10" sqref="F10"/>
    </sheetView>
  </sheetViews>
  <sheetFormatPr defaultColWidth="17.375" defaultRowHeight="22.5"/>
  <cols>
    <col min="1" max="1" width="8.75" style="22" customWidth="1"/>
    <col min="2" max="2" width="17.375" style="22"/>
    <col min="3" max="3" width="27.75" style="22" customWidth="1"/>
    <col min="4" max="16384" width="17.375" style="22"/>
  </cols>
  <sheetData>
    <row r="1" spans="1:4" ht="26.25">
      <c r="A1" s="266"/>
      <c r="B1" s="266" t="s">
        <v>506</v>
      </c>
      <c r="C1" s="266" t="s">
        <v>247</v>
      </c>
      <c r="D1" s="266"/>
    </row>
    <row r="3" spans="1:4" ht="23.25">
      <c r="A3" s="165" t="s">
        <v>513</v>
      </c>
      <c r="B3" s="165"/>
      <c r="C3" s="165"/>
    </row>
    <row r="5" spans="1:4">
      <c r="B5" s="22" t="s">
        <v>507</v>
      </c>
      <c r="D5" s="267">
        <v>5524225.9400000004</v>
      </c>
    </row>
    <row r="6" spans="1:4">
      <c r="B6" s="22" t="s">
        <v>508</v>
      </c>
      <c r="D6" s="267">
        <v>606573.25</v>
      </c>
    </row>
    <row r="7" spans="1:4">
      <c r="B7" s="22" t="s">
        <v>512</v>
      </c>
      <c r="D7" s="267">
        <v>64021.54</v>
      </c>
    </row>
    <row r="8" spans="1:4">
      <c r="B8" s="22" t="s">
        <v>509</v>
      </c>
      <c r="D8" s="267">
        <v>7538465.6900000004</v>
      </c>
    </row>
    <row r="9" spans="1:4">
      <c r="B9" s="22" t="s">
        <v>510</v>
      </c>
      <c r="D9" s="267">
        <v>1676690.13</v>
      </c>
    </row>
    <row r="10" spans="1:4">
      <c r="B10" s="22" t="s">
        <v>511</v>
      </c>
      <c r="D10" s="168">
        <v>13425803.43</v>
      </c>
    </row>
    <row r="11" spans="1:4">
      <c r="D11" s="168"/>
    </row>
    <row r="12" spans="1:4">
      <c r="D12" s="168"/>
    </row>
    <row r="13" spans="1:4">
      <c r="D13" s="168"/>
    </row>
    <row r="14" spans="1:4" ht="24" thickBot="1">
      <c r="C14" s="165" t="s">
        <v>9</v>
      </c>
      <c r="D14" s="264">
        <f>SUM(D5:D13)</f>
        <v>28835779.98</v>
      </c>
    </row>
    <row r="15" spans="1:4" ht="23.25" thickTop="1"/>
  </sheetData>
  <pageMargins left="0.7" right="0.7" top="0.75" bottom="0.75" header="0.3" footer="0.3"/>
  <pageSetup orientation="portrait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XFD1048576"/>
    </sheetView>
  </sheetViews>
  <sheetFormatPr defaultRowHeight="22.5"/>
  <cols>
    <col min="1" max="1" width="14.625" style="22" customWidth="1"/>
    <col min="2" max="2" width="24.625" style="22" customWidth="1"/>
    <col min="3" max="3" width="23.375" style="22" customWidth="1"/>
    <col min="4" max="4" width="15.5" style="22" customWidth="1"/>
    <col min="5" max="16384" width="9" style="22"/>
  </cols>
  <sheetData>
    <row r="1" spans="1:5" ht="26.25">
      <c r="A1" s="266"/>
      <c r="B1" s="266" t="s">
        <v>506</v>
      </c>
      <c r="C1" s="266" t="s">
        <v>247</v>
      </c>
      <c r="D1" s="266"/>
    </row>
    <row r="3" spans="1:5" ht="23.25">
      <c r="A3" s="165" t="s">
        <v>523</v>
      </c>
      <c r="B3" s="165"/>
      <c r="C3" s="165"/>
    </row>
    <row r="4" spans="1:5">
      <c r="D4" s="268"/>
      <c r="E4" s="268"/>
    </row>
    <row r="5" spans="1:5">
      <c r="B5" s="22" t="s">
        <v>514</v>
      </c>
      <c r="D5" s="267">
        <v>811757.75</v>
      </c>
      <c r="E5" s="268"/>
    </row>
    <row r="6" spans="1:5">
      <c r="B6" s="22" t="s">
        <v>372</v>
      </c>
      <c r="D6" s="267">
        <v>22200</v>
      </c>
      <c r="E6" s="268"/>
    </row>
    <row r="7" spans="1:5">
      <c r="B7" s="22" t="s">
        <v>515</v>
      </c>
      <c r="D7" s="267">
        <v>3906.99</v>
      </c>
      <c r="E7" s="268"/>
    </row>
    <row r="8" spans="1:5">
      <c r="B8" s="22" t="s">
        <v>516</v>
      </c>
      <c r="D8" s="267">
        <v>10947.05</v>
      </c>
      <c r="E8" s="268"/>
    </row>
    <row r="9" spans="1:5">
      <c r="B9" s="22" t="s">
        <v>517</v>
      </c>
      <c r="D9" s="267">
        <v>0</v>
      </c>
      <c r="E9" s="268"/>
    </row>
    <row r="10" spans="1:5">
      <c r="B10" s="22" t="s">
        <v>518</v>
      </c>
      <c r="D10" s="267">
        <v>636645.13</v>
      </c>
      <c r="E10" s="268"/>
    </row>
    <row r="11" spans="1:5">
      <c r="B11" s="22" t="s">
        <v>521</v>
      </c>
      <c r="D11" s="267">
        <v>10000</v>
      </c>
      <c r="E11" s="268"/>
    </row>
    <row r="12" spans="1:5">
      <c r="B12" s="22" t="s">
        <v>522</v>
      </c>
      <c r="D12" s="267">
        <v>198151.22</v>
      </c>
      <c r="E12" s="268"/>
    </row>
    <row r="13" spans="1:5">
      <c r="B13" s="22" t="s">
        <v>519</v>
      </c>
      <c r="D13" s="267">
        <v>4500</v>
      </c>
      <c r="E13" s="268"/>
    </row>
    <row r="14" spans="1:5">
      <c r="B14" s="22" t="s">
        <v>520</v>
      </c>
      <c r="D14" s="267">
        <v>0</v>
      </c>
      <c r="E14" s="268"/>
    </row>
    <row r="15" spans="1:5">
      <c r="B15" s="22" t="s">
        <v>524</v>
      </c>
      <c r="D15" s="267">
        <v>43680</v>
      </c>
      <c r="E15" s="268"/>
    </row>
    <row r="16" spans="1:5">
      <c r="B16" s="22" t="s">
        <v>525</v>
      </c>
      <c r="D16" s="267">
        <v>47210</v>
      </c>
      <c r="E16" s="268"/>
    </row>
    <row r="17" spans="3:4">
      <c r="D17" s="168"/>
    </row>
    <row r="18" spans="3:4">
      <c r="D18" s="168"/>
    </row>
    <row r="19" spans="3:4">
      <c r="D19" s="168"/>
    </row>
    <row r="20" spans="3:4" ht="24" thickBot="1">
      <c r="C20" s="165" t="s">
        <v>9</v>
      </c>
      <c r="D20" s="264">
        <f>SUM(D5:D19)</f>
        <v>1788998.14</v>
      </c>
    </row>
    <row r="21" spans="3:4" ht="23.25" thickTop="1"/>
  </sheetData>
  <pageMargins left="0.7" right="0.7" top="0.75" bottom="0.75" header="0.3" footer="0.3"/>
  <pageSetup orientation="portrait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C11" sqref="C11"/>
    </sheetView>
  </sheetViews>
  <sheetFormatPr defaultRowHeight="22.5"/>
  <cols>
    <col min="1" max="1" width="24.875" style="22" customWidth="1"/>
    <col min="2" max="6" width="14.25" style="22" customWidth="1"/>
    <col min="7" max="16384" width="9" style="22"/>
  </cols>
  <sheetData>
    <row r="1" spans="1:11" ht="23.25">
      <c r="A1" s="338" t="s">
        <v>557</v>
      </c>
      <c r="B1" s="339"/>
      <c r="C1" s="339"/>
      <c r="D1" s="339"/>
      <c r="E1" s="339"/>
      <c r="F1" s="328"/>
      <c r="G1" s="51"/>
      <c r="H1" s="51"/>
      <c r="I1" s="51"/>
      <c r="J1" s="51"/>
      <c r="K1" s="51"/>
    </row>
    <row r="2" spans="1:11" ht="23.25">
      <c r="A2" s="340" t="s">
        <v>339</v>
      </c>
      <c r="B2" s="314"/>
      <c r="C2" s="314"/>
      <c r="D2" s="314"/>
      <c r="E2" s="314"/>
      <c r="F2" s="328"/>
      <c r="G2" s="51"/>
      <c r="H2" s="51"/>
      <c r="I2" s="51"/>
      <c r="J2" s="51"/>
      <c r="K2" s="51"/>
    </row>
    <row r="3" spans="1:11" ht="23.25">
      <c r="A3" s="340" t="s">
        <v>64</v>
      </c>
      <c r="B3" s="314"/>
      <c r="C3" s="314"/>
      <c r="D3" s="314"/>
      <c r="E3" s="314"/>
      <c r="F3" s="328"/>
      <c r="G3" s="51"/>
      <c r="H3" s="51"/>
      <c r="I3" s="51"/>
      <c r="J3" s="51"/>
      <c r="K3" s="51"/>
    </row>
    <row r="4" spans="1:11" ht="23.25">
      <c r="A4" s="340" t="s">
        <v>442</v>
      </c>
      <c r="B4" s="314"/>
      <c r="C4" s="314"/>
      <c r="D4" s="314"/>
      <c r="E4" s="314"/>
      <c r="F4" s="328"/>
      <c r="G4" s="51"/>
      <c r="H4" s="51"/>
      <c r="I4" s="51"/>
      <c r="J4" s="51"/>
      <c r="K4" s="51"/>
    </row>
    <row r="5" spans="1:11">
      <c r="A5" s="247"/>
      <c r="B5" s="247"/>
      <c r="C5" s="247"/>
      <c r="D5" s="269"/>
      <c r="E5" s="248"/>
      <c r="G5" s="51"/>
      <c r="H5" s="51"/>
      <c r="I5" s="51"/>
      <c r="J5" s="51"/>
      <c r="K5" s="51"/>
    </row>
    <row r="6" spans="1:11">
      <c r="A6" s="246" t="s">
        <v>526</v>
      </c>
      <c r="B6" s="309" t="s">
        <v>256</v>
      </c>
      <c r="C6" s="307"/>
      <c r="D6" s="220" t="s">
        <v>527</v>
      </c>
      <c r="E6" s="270" t="s">
        <v>528</v>
      </c>
      <c r="F6" s="48" t="s">
        <v>529</v>
      </c>
      <c r="G6" s="51"/>
      <c r="H6" s="51"/>
      <c r="I6" s="51"/>
      <c r="J6" s="51"/>
      <c r="K6" s="51"/>
    </row>
    <row r="7" spans="1:11">
      <c r="A7" s="245"/>
      <c r="B7" s="245" t="s">
        <v>530</v>
      </c>
      <c r="C7" s="25" t="s">
        <v>531</v>
      </c>
      <c r="D7" s="271"/>
      <c r="E7" s="221"/>
      <c r="F7" s="221"/>
      <c r="G7" s="51"/>
      <c r="H7" s="47"/>
      <c r="I7" s="269"/>
      <c r="J7" s="51"/>
      <c r="K7" s="51"/>
    </row>
    <row r="8" spans="1:11" ht="23.25">
      <c r="A8" s="272" t="s">
        <v>532</v>
      </c>
      <c r="B8" s="52"/>
      <c r="C8" s="47"/>
      <c r="D8" s="273"/>
      <c r="E8" s="52"/>
      <c r="F8" s="52"/>
      <c r="G8" s="51"/>
      <c r="H8" s="47"/>
      <c r="I8" s="269"/>
      <c r="J8" s="51"/>
      <c r="K8" s="51"/>
    </row>
    <row r="9" spans="1:11" ht="23.25">
      <c r="A9" s="274" t="s">
        <v>533</v>
      </c>
      <c r="B9" s="275"/>
      <c r="C9" s="276"/>
      <c r="D9" s="277"/>
      <c r="E9" s="275"/>
      <c r="F9" s="278" t="s">
        <v>534</v>
      </c>
      <c r="G9" s="51"/>
      <c r="H9" s="279"/>
      <c r="I9" s="280"/>
      <c r="J9" s="281"/>
      <c r="K9" s="51"/>
    </row>
    <row r="10" spans="1:11">
      <c r="A10" s="282" t="s">
        <v>535</v>
      </c>
      <c r="B10" s="283">
        <v>32500</v>
      </c>
      <c r="C10" s="284">
        <v>0</v>
      </c>
      <c r="D10" s="285">
        <v>16250</v>
      </c>
      <c r="E10" s="283">
        <f>+B10-D10</f>
        <v>16250</v>
      </c>
      <c r="F10" s="286" t="s">
        <v>536</v>
      </c>
      <c r="G10" s="51"/>
      <c r="H10" s="47"/>
      <c r="I10" s="247"/>
      <c r="J10" s="51"/>
      <c r="K10" s="51"/>
    </row>
    <row r="11" spans="1:11">
      <c r="A11" s="282" t="s">
        <v>537</v>
      </c>
      <c r="B11" s="283">
        <v>49400</v>
      </c>
      <c r="C11" s="284">
        <v>0</v>
      </c>
      <c r="D11" s="285">
        <v>19266</v>
      </c>
      <c r="E11" s="283">
        <f>+B11-D11</f>
        <v>30134</v>
      </c>
      <c r="F11" s="286" t="s">
        <v>538</v>
      </c>
      <c r="G11" s="51"/>
      <c r="H11" s="47"/>
      <c r="I11" s="247"/>
      <c r="J11" s="51"/>
      <c r="K11" s="51"/>
    </row>
    <row r="12" spans="1:11">
      <c r="A12" s="282"/>
      <c r="B12" s="283"/>
      <c r="C12" s="177"/>
      <c r="D12" s="285"/>
      <c r="E12" s="283"/>
      <c r="F12" s="286"/>
      <c r="G12" s="51"/>
      <c r="H12" s="47"/>
      <c r="I12" s="247"/>
      <c r="J12" s="51"/>
      <c r="K12" s="51"/>
    </row>
    <row r="13" spans="1:11" ht="23.25">
      <c r="A13" s="287" t="s">
        <v>539</v>
      </c>
      <c r="B13" s="283"/>
      <c r="C13" s="177"/>
      <c r="D13" s="285"/>
      <c r="E13" s="288"/>
      <c r="F13" s="286"/>
      <c r="G13" s="51"/>
      <c r="H13" s="47"/>
      <c r="I13" s="247"/>
      <c r="J13" s="51"/>
      <c r="K13" s="51"/>
    </row>
    <row r="14" spans="1:11">
      <c r="A14" s="282" t="s">
        <v>540</v>
      </c>
      <c r="B14" s="283">
        <v>210115.3</v>
      </c>
      <c r="C14" s="289">
        <v>0</v>
      </c>
      <c r="D14" s="285" t="s">
        <v>127</v>
      </c>
      <c r="E14" s="283">
        <v>210115.3</v>
      </c>
      <c r="F14" s="286" t="s">
        <v>541</v>
      </c>
      <c r="G14" s="51"/>
      <c r="H14" s="47"/>
      <c r="I14" s="247"/>
      <c r="J14" s="51"/>
      <c r="K14" s="51"/>
    </row>
    <row r="15" spans="1:11">
      <c r="A15" s="282"/>
      <c r="B15" s="283"/>
      <c r="C15" s="177"/>
      <c r="D15" s="285"/>
      <c r="E15" s="283"/>
      <c r="F15" s="286" t="s">
        <v>536</v>
      </c>
      <c r="G15" s="51"/>
      <c r="H15" s="47"/>
      <c r="I15" s="247"/>
      <c r="J15" s="51"/>
      <c r="K15" s="51"/>
    </row>
    <row r="16" spans="1:11">
      <c r="A16" s="282"/>
      <c r="B16" s="283"/>
      <c r="C16" s="177"/>
      <c r="D16" s="285"/>
      <c r="E16" s="283"/>
      <c r="F16" s="286" t="s">
        <v>538</v>
      </c>
      <c r="G16" s="51"/>
      <c r="H16" s="47"/>
      <c r="I16" s="247"/>
      <c r="J16" s="51"/>
      <c r="K16" s="51"/>
    </row>
    <row r="17" spans="1:11" ht="23.25">
      <c r="A17" s="287" t="s">
        <v>542</v>
      </c>
      <c r="B17" s="283"/>
      <c r="C17" s="177"/>
      <c r="D17" s="285"/>
      <c r="E17" s="283"/>
      <c r="F17" s="286"/>
      <c r="G17" s="51"/>
      <c r="H17" s="47"/>
      <c r="I17" s="247"/>
      <c r="J17" s="51"/>
      <c r="K17" s="51"/>
    </row>
    <row r="18" spans="1:11">
      <c r="A18" s="282" t="s">
        <v>543</v>
      </c>
      <c r="B18" s="283">
        <v>0</v>
      </c>
      <c r="C18" s="177">
        <v>28000</v>
      </c>
      <c r="D18" s="285">
        <v>0</v>
      </c>
      <c r="E18" s="283">
        <v>28000</v>
      </c>
      <c r="F18" s="286" t="s">
        <v>544</v>
      </c>
      <c r="G18" s="51"/>
      <c r="H18" s="47"/>
      <c r="I18" s="51"/>
      <c r="J18" s="51"/>
      <c r="K18" s="51"/>
    </row>
    <row r="19" spans="1:11">
      <c r="A19" s="282"/>
      <c r="B19" s="283"/>
      <c r="C19" s="177"/>
      <c r="D19" s="285"/>
      <c r="E19" s="283"/>
      <c r="F19" s="286" t="s">
        <v>536</v>
      </c>
      <c r="G19" s="51"/>
      <c r="H19" s="47"/>
      <c r="I19" s="51"/>
      <c r="J19" s="51"/>
      <c r="K19" s="51"/>
    </row>
    <row r="20" spans="1:11">
      <c r="A20" s="282"/>
      <c r="B20" s="283"/>
      <c r="C20" s="177"/>
      <c r="D20" s="285"/>
      <c r="E20" s="283"/>
      <c r="F20" s="286" t="s">
        <v>538</v>
      </c>
      <c r="G20" s="51"/>
      <c r="H20" s="47"/>
      <c r="I20" s="51"/>
      <c r="J20" s="51"/>
      <c r="K20" s="51"/>
    </row>
    <row r="21" spans="1:11">
      <c r="A21" s="282"/>
      <c r="B21" s="283"/>
      <c r="C21" s="177"/>
      <c r="D21" s="285"/>
      <c r="E21" s="283"/>
      <c r="F21" s="286"/>
      <c r="G21" s="51"/>
      <c r="H21" s="47"/>
      <c r="I21" s="51"/>
      <c r="J21" s="51"/>
      <c r="K21" s="51"/>
    </row>
    <row r="22" spans="1:11">
      <c r="A22" s="282" t="s">
        <v>545</v>
      </c>
      <c r="B22" s="283">
        <v>0</v>
      </c>
      <c r="C22" s="177">
        <v>26315.51</v>
      </c>
      <c r="D22" s="283">
        <v>0</v>
      </c>
      <c r="E22" s="283">
        <f>+B22+C22-D22</f>
        <v>26315.51</v>
      </c>
      <c r="F22" s="286" t="s">
        <v>546</v>
      </c>
      <c r="G22" s="51"/>
      <c r="H22" s="47"/>
      <c r="I22" s="51"/>
      <c r="J22" s="51"/>
      <c r="K22" s="51"/>
    </row>
    <row r="23" spans="1:11">
      <c r="A23" s="282"/>
      <c r="B23" s="283"/>
      <c r="C23" s="177"/>
      <c r="D23" s="283"/>
      <c r="E23" s="283"/>
      <c r="F23" s="286" t="s">
        <v>536</v>
      </c>
      <c r="G23" s="51"/>
      <c r="H23" s="47"/>
      <c r="I23" s="51"/>
      <c r="J23" s="51"/>
      <c r="K23" s="51"/>
    </row>
    <row r="24" spans="1:11">
      <c r="A24" s="282"/>
      <c r="B24" s="283"/>
      <c r="C24" s="177"/>
      <c r="D24" s="283"/>
      <c r="E24" s="283"/>
      <c r="F24" s="286" t="s">
        <v>538</v>
      </c>
      <c r="G24" s="51"/>
      <c r="H24" s="47"/>
      <c r="I24" s="51"/>
      <c r="J24" s="51"/>
      <c r="K24" s="51"/>
    </row>
    <row r="25" spans="1:11">
      <c r="A25" s="282"/>
      <c r="B25" s="283"/>
      <c r="C25" s="177"/>
      <c r="D25" s="283"/>
      <c r="E25" s="283"/>
      <c r="F25" s="286"/>
      <c r="G25" s="51"/>
      <c r="H25" s="47"/>
      <c r="I25" s="51"/>
      <c r="J25" s="51"/>
      <c r="K25" s="51"/>
    </row>
    <row r="26" spans="1:11" ht="23.25">
      <c r="A26" s="287" t="s">
        <v>547</v>
      </c>
      <c r="B26" s="286"/>
      <c r="C26" s="290"/>
      <c r="D26" s="286"/>
      <c r="E26" s="286"/>
      <c r="F26" s="286"/>
      <c r="G26" s="51"/>
      <c r="H26" s="47"/>
      <c r="I26" s="51"/>
      <c r="J26" s="51"/>
      <c r="K26" s="51"/>
    </row>
    <row r="27" spans="1:11">
      <c r="A27" s="282" t="s">
        <v>548</v>
      </c>
      <c r="B27" s="283">
        <v>254000</v>
      </c>
      <c r="C27" s="177">
        <v>0</v>
      </c>
      <c r="D27" s="283">
        <v>0</v>
      </c>
      <c r="E27" s="283">
        <v>254000</v>
      </c>
      <c r="F27" s="286" t="s">
        <v>549</v>
      </c>
      <c r="G27" s="51"/>
      <c r="H27" s="47"/>
      <c r="I27" s="51"/>
      <c r="J27" s="51"/>
      <c r="K27" s="51"/>
    </row>
    <row r="28" spans="1:11">
      <c r="A28" s="282" t="s">
        <v>550</v>
      </c>
      <c r="B28" s="286"/>
      <c r="C28" s="290"/>
      <c r="D28" s="286"/>
      <c r="E28" s="286"/>
      <c r="F28" s="286" t="s">
        <v>536</v>
      </c>
      <c r="G28" s="51"/>
      <c r="H28" s="47"/>
      <c r="I28" s="51"/>
      <c r="J28" s="51"/>
      <c r="K28" s="51"/>
    </row>
    <row r="29" spans="1:11">
      <c r="A29" s="223"/>
      <c r="B29" s="52"/>
      <c r="C29" s="47"/>
      <c r="D29" s="52"/>
      <c r="E29" s="52"/>
      <c r="F29" s="52" t="s">
        <v>538</v>
      </c>
      <c r="G29" s="51"/>
      <c r="H29" s="47"/>
      <c r="I29" s="51"/>
      <c r="J29" s="51"/>
      <c r="K29" s="51"/>
    </row>
    <row r="30" spans="1:11" ht="23.25" thickBot="1">
      <c r="A30" s="291" t="s">
        <v>551</v>
      </c>
      <c r="B30" s="292">
        <f>+B10+B11+B14+B18+B22+B27</f>
        <v>546015.30000000005</v>
      </c>
      <c r="C30" s="263">
        <f>+C10+C11+C14+C18+C22+C27</f>
        <v>54315.509999999995</v>
      </c>
      <c r="D30" s="292">
        <f>SUM(D10:D29)</f>
        <v>35516</v>
      </c>
      <c r="E30" s="292">
        <f>+E10+E11+E14+E18+E22+E27</f>
        <v>564814.81000000006</v>
      </c>
      <c r="F30" s="293"/>
      <c r="G30" s="51"/>
      <c r="H30" s="51"/>
      <c r="I30" s="51"/>
      <c r="J30" s="51"/>
      <c r="K30" s="51"/>
    </row>
    <row r="31" spans="1:11" ht="23.25" thickTop="1">
      <c r="C31" s="294"/>
      <c r="G31" s="51"/>
      <c r="H31" s="51"/>
      <c r="I31" s="51"/>
      <c r="J31" s="51"/>
      <c r="K31" s="51"/>
    </row>
    <row r="32" spans="1:11">
      <c r="C32" s="294"/>
      <c r="G32" s="51"/>
      <c r="H32" s="51"/>
      <c r="I32" s="51"/>
      <c r="J32" s="51"/>
      <c r="K32" s="51"/>
    </row>
    <row r="33" spans="1:11">
      <c r="A33" s="22" t="s">
        <v>552</v>
      </c>
      <c r="D33" s="22" t="s">
        <v>355</v>
      </c>
      <c r="G33" s="51"/>
      <c r="H33" s="51"/>
      <c r="I33" s="51"/>
      <c r="J33" s="51"/>
      <c r="K33" s="51"/>
    </row>
    <row r="34" spans="1:11">
      <c r="A34" s="22" t="s">
        <v>553</v>
      </c>
      <c r="D34" s="22" t="s">
        <v>554</v>
      </c>
      <c r="G34" s="51"/>
      <c r="H34" s="51"/>
      <c r="I34" s="51"/>
      <c r="J34" s="51"/>
      <c r="K34" s="51"/>
    </row>
    <row r="35" spans="1:11">
      <c r="A35" s="22" t="s">
        <v>555</v>
      </c>
      <c r="D35" s="22" t="s">
        <v>556</v>
      </c>
      <c r="G35" s="51"/>
      <c r="H35" s="51"/>
      <c r="I35" s="51"/>
      <c r="J35" s="51"/>
      <c r="K35" s="51"/>
    </row>
    <row r="36" spans="1:11">
      <c r="G36" s="51"/>
      <c r="H36" s="51"/>
      <c r="I36" s="51"/>
      <c r="J36" s="51"/>
      <c r="K36" s="51"/>
    </row>
  </sheetData>
  <mergeCells count="5">
    <mergeCell ref="A1:F1"/>
    <mergeCell ref="A2:F2"/>
    <mergeCell ref="A3:F3"/>
    <mergeCell ref="A4:F4"/>
    <mergeCell ref="B6:C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62"/>
  <sheetViews>
    <sheetView topLeftCell="A46" workbookViewId="0">
      <selection activeCell="G12" sqref="G12"/>
    </sheetView>
  </sheetViews>
  <sheetFormatPr defaultRowHeight="14.25"/>
  <cols>
    <col min="1" max="1" width="13.875" style="295" customWidth="1"/>
    <col min="2" max="2" width="10.625" style="296" bestFit="1" customWidth="1"/>
    <col min="3" max="3" width="15.25" style="295" customWidth="1"/>
    <col min="4" max="4" width="13.75" style="295" customWidth="1"/>
    <col min="5" max="5" width="14.875" style="295" customWidth="1"/>
    <col min="6" max="6" width="15" style="295" customWidth="1"/>
    <col min="7" max="7" width="11.375" style="296" customWidth="1"/>
    <col min="8" max="9" width="13.25" style="295" customWidth="1"/>
    <col min="10" max="10" width="19.75" style="295" customWidth="1"/>
    <col min="11" max="11" width="12.875" style="295" customWidth="1"/>
    <col min="12" max="16384" width="9" style="295"/>
  </cols>
  <sheetData>
    <row r="1" spans="1:11">
      <c r="A1" s="295" t="s">
        <v>558</v>
      </c>
      <c r="F1" s="300"/>
      <c r="G1" s="301"/>
      <c r="H1" s="298"/>
      <c r="I1" s="298"/>
      <c r="J1" s="298"/>
      <c r="K1" s="298"/>
    </row>
    <row r="2" spans="1:11">
      <c r="A2" s="295" t="s">
        <v>350</v>
      </c>
      <c r="B2" s="296" t="s">
        <v>351</v>
      </c>
      <c r="C2" s="295" t="s">
        <v>625</v>
      </c>
      <c r="D2" s="295" t="s">
        <v>626</v>
      </c>
      <c r="E2" s="295" t="s">
        <v>628</v>
      </c>
      <c r="F2" s="303" t="s">
        <v>627</v>
      </c>
      <c r="G2" s="301"/>
      <c r="H2" s="298"/>
      <c r="I2" s="298"/>
      <c r="J2" s="298"/>
      <c r="K2" s="298"/>
    </row>
    <row r="3" spans="1:11">
      <c r="A3" s="295" t="s">
        <v>559</v>
      </c>
      <c r="B3" s="296" t="s">
        <v>560</v>
      </c>
      <c r="C3" s="295">
        <v>2816</v>
      </c>
      <c r="D3" s="295">
        <v>2816</v>
      </c>
      <c r="E3" s="295">
        <f>+C3-D3</f>
        <v>0</v>
      </c>
      <c r="G3" s="301"/>
      <c r="H3" s="298"/>
      <c r="I3" s="298"/>
      <c r="J3" s="298"/>
      <c r="K3" s="298"/>
    </row>
    <row r="4" spans="1:11">
      <c r="A4" s="295" t="s">
        <v>561</v>
      </c>
      <c r="B4" s="296" t="s">
        <v>562</v>
      </c>
      <c r="C4" s="295">
        <v>18000</v>
      </c>
      <c r="D4" s="295">
        <v>17820</v>
      </c>
      <c r="E4" s="295">
        <f t="shared" ref="E4:E14" si="0">+C4-D4</f>
        <v>180</v>
      </c>
      <c r="G4" s="301"/>
      <c r="H4" s="298"/>
      <c r="I4" s="298"/>
      <c r="J4" s="298"/>
      <c r="K4" s="298"/>
    </row>
    <row r="5" spans="1:11">
      <c r="A5" s="295" t="s">
        <v>563</v>
      </c>
      <c r="B5" s="296" t="s">
        <v>564</v>
      </c>
      <c r="C5" s="295">
        <v>1000</v>
      </c>
      <c r="D5" s="295">
        <v>1000</v>
      </c>
      <c r="E5" s="295">
        <f t="shared" si="0"/>
        <v>0</v>
      </c>
      <c r="G5" s="301"/>
      <c r="H5" s="298"/>
      <c r="I5" s="298"/>
      <c r="J5" s="298"/>
      <c r="K5" s="298"/>
    </row>
    <row r="6" spans="1:11">
      <c r="A6" s="295" t="s">
        <v>565</v>
      </c>
      <c r="B6" s="296" t="s">
        <v>566</v>
      </c>
      <c r="C6" s="295">
        <v>69500</v>
      </c>
      <c r="D6" s="295">
        <v>69500</v>
      </c>
      <c r="E6" s="295">
        <f t="shared" si="0"/>
        <v>0</v>
      </c>
      <c r="G6" s="301"/>
      <c r="H6" s="298"/>
      <c r="I6" s="298"/>
      <c r="J6" s="298"/>
      <c r="K6" s="298"/>
    </row>
    <row r="7" spans="1:11">
      <c r="A7" s="295" t="s">
        <v>567</v>
      </c>
      <c r="B7" s="296" t="s">
        <v>568</v>
      </c>
      <c r="C7" s="295">
        <v>50000</v>
      </c>
      <c r="E7" s="295">
        <f t="shared" si="0"/>
        <v>50000</v>
      </c>
      <c r="G7" s="301"/>
      <c r="H7" s="298"/>
      <c r="I7" s="298"/>
      <c r="J7" s="298"/>
      <c r="K7" s="298"/>
    </row>
    <row r="8" spans="1:11">
      <c r="A8" s="295" t="s">
        <v>569</v>
      </c>
      <c r="B8" s="296" t="s">
        <v>570</v>
      </c>
      <c r="C8" s="295">
        <v>20580</v>
      </c>
      <c r="D8" s="295">
        <v>20600</v>
      </c>
      <c r="E8" s="295">
        <f t="shared" si="0"/>
        <v>-20</v>
      </c>
      <c r="G8" s="301"/>
      <c r="H8" s="298"/>
      <c r="I8" s="298"/>
      <c r="J8" s="298"/>
      <c r="K8" s="298"/>
    </row>
    <row r="9" spans="1:11">
      <c r="A9" s="295" t="s">
        <v>571</v>
      </c>
      <c r="B9" s="296" t="s">
        <v>572</v>
      </c>
      <c r="C9" s="295">
        <v>9900</v>
      </c>
      <c r="E9" s="295">
        <f t="shared" si="0"/>
        <v>9900</v>
      </c>
      <c r="G9" s="301"/>
      <c r="H9" s="298"/>
      <c r="I9" s="298"/>
      <c r="J9" s="298"/>
      <c r="K9" s="298"/>
    </row>
    <row r="10" spans="1:11">
      <c r="A10" s="295" t="s">
        <v>573</v>
      </c>
      <c r="B10" s="296" t="s">
        <v>574</v>
      </c>
      <c r="C10" s="295">
        <v>17000</v>
      </c>
      <c r="D10" s="295">
        <v>16830</v>
      </c>
      <c r="E10" s="295">
        <f t="shared" si="0"/>
        <v>170</v>
      </c>
      <c r="G10" s="301"/>
      <c r="H10" s="298"/>
      <c r="I10" s="298"/>
      <c r="J10" s="298"/>
      <c r="K10" s="298"/>
    </row>
    <row r="11" spans="1:11">
      <c r="A11" s="295" t="s">
        <v>575</v>
      </c>
      <c r="B11" s="296" t="s">
        <v>576</v>
      </c>
      <c r="C11" s="295">
        <v>30700</v>
      </c>
      <c r="E11" s="295">
        <f t="shared" si="0"/>
        <v>30700</v>
      </c>
      <c r="G11" s="301"/>
      <c r="H11" s="298"/>
      <c r="I11" s="298"/>
      <c r="J11" s="298"/>
      <c r="K11" s="298"/>
    </row>
    <row r="12" spans="1:11">
      <c r="A12" s="295" t="s">
        <v>368</v>
      </c>
      <c r="B12" s="296" t="s">
        <v>577</v>
      </c>
      <c r="C12" s="295">
        <v>20000</v>
      </c>
      <c r="E12" s="295">
        <f t="shared" si="0"/>
        <v>20000</v>
      </c>
      <c r="G12" s="301"/>
      <c r="H12" s="298"/>
      <c r="I12" s="298"/>
      <c r="J12" s="298"/>
      <c r="K12" s="298"/>
    </row>
    <row r="13" spans="1:11">
      <c r="A13" s="295" t="s">
        <v>369</v>
      </c>
      <c r="B13" s="296" t="s">
        <v>578</v>
      </c>
      <c r="C13" s="295">
        <v>18822.43</v>
      </c>
      <c r="D13" s="295">
        <v>18810</v>
      </c>
      <c r="E13" s="295">
        <f t="shared" si="0"/>
        <v>12.430000000000291</v>
      </c>
      <c r="G13" s="301"/>
      <c r="H13" s="298"/>
      <c r="I13" s="298"/>
      <c r="J13" s="298"/>
      <c r="K13" s="298"/>
    </row>
    <row r="14" spans="1:11">
      <c r="A14" s="295" t="s">
        <v>369</v>
      </c>
      <c r="B14" s="296" t="s">
        <v>579</v>
      </c>
      <c r="C14" s="295">
        <v>157944.87</v>
      </c>
      <c r="D14" s="295">
        <v>163074.81</v>
      </c>
      <c r="E14" s="295">
        <f t="shared" si="0"/>
        <v>-5129.9400000000023</v>
      </c>
      <c r="G14" s="301"/>
      <c r="H14" s="298"/>
      <c r="I14" s="298"/>
      <c r="J14" s="298"/>
      <c r="K14" s="298"/>
    </row>
    <row r="15" spans="1:11">
      <c r="C15" s="295">
        <f>SUM(C3:C14)</f>
        <v>416263.3</v>
      </c>
      <c r="D15" s="295">
        <f>SUM(D3:D14)</f>
        <v>310450.81</v>
      </c>
      <c r="E15" s="295">
        <f>SUM(E3:E14)</f>
        <v>105812.48999999999</v>
      </c>
      <c r="G15" s="301"/>
      <c r="H15" s="298"/>
      <c r="I15" s="298"/>
      <c r="J15" s="298"/>
      <c r="K15" s="298"/>
    </row>
    <row r="16" spans="1:11">
      <c r="G16" s="301"/>
      <c r="H16" s="298"/>
      <c r="I16" s="298"/>
      <c r="J16" s="298"/>
      <c r="K16" s="298"/>
    </row>
    <row r="17" spans="1:11">
      <c r="E17" s="295">
        <f>+C15-D15</f>
        <v>105812.48999999999</v>
      </c>
      <c r="G17" s="301"/>
      <c r="H17" s="298"/>
      <c r="I17" s="298"/>
      <c r="J17" s="298"/>
      <c r="K17" s="298"/>
    </row>
    <row r="18" spans="1:11">
      <c r="G18" s="301"/>
      <c r="H18" s="298"/>
      <c r="I18" s="298"/>
      <c r="J18" s="298"/>
      <c r="K18" s="298"/>
    </row>
    <row r="19" spans="1:11">
      <c r="G19" s="301"/>
      <c r="H19" s="298"/>
      <c r="I19" s="298"/>
      <c r="J19" s="298"/>
      <c r="K19" s="298"/>
    </row>
    <row r="20" spans="1:11">
      <c r="A20" s="300" t="s">
        <v>580</v>
      </c>
      <c r="G20" s="301"/>
      <c r="H20" s="298"/>
      <c r="I20" s="298"/>
      <c r="J20" s="298"/>
      <c r="K20" s="298"/>
    </row>
    <row r="21" spans="1:11">
      <c r="A21" s="295" t="s">
        <v>350</v>
      </c>
      <c r="B21" s="296" t="s">
        <v>351</v>
      </c>
      <c r="C21" s="295" t="s">
        <v>625</v>
      </c>
      <c r="D21" s="295" t="s">
        <v>626</v>
      </c>
      <c r="E21" s="295" t="s">
        <v>628</v>
      </c>
      <c r="F21" s="303" t="s">
        <v>627</v>
      </c>
      <c r="G21" s="301"/>
      <c r="H21" s="298"/>
      <c r="I21" s="298"/>
      <c r="J21" s="298"/>
      <c r="K21" s="298"/>
    </row>
    <row r="22" spans="1:11">
      <c r="A22" s="295" t="s">
        <v>581</v>
      </c>
      <c r="B22" s="296" t="s">
        <v>582</v>
      </c>
      <c r="C22" s="295">
        <v>3427.37</v>
      </c>
      <c r="D22" s="295">
        <v>3427.37</v>
      </c>
      <c r="E22" s="295">
        <f>+D22-C22</f>
        <v>0</v>
      </c>
      <c r="F22" s="302"/>
      <c r="G22" s="301"/>
      <c r="H22" s="298"/>
      <c r="I22" s="298"/>
      <c r="J22" s="298"/>
      <c r="K22" s="298"/>
    </row>
    <row r="23" spans="1:11">
      <c r="A23" s="295" t="s">
        <v>583</v>
      </c>
      <c r="B23" s="296" t="s">
        <v>584</v>
      </c>
      <c r="C23" s="295">
        <v>20575</v>
      </c>
      <c r="E23" s="299">
        <f t="shared" ref="E23:E57" si="1">+D23-C23</f>
        <v>-20575</v>
      </c>
      <c r="F23" s="302"/>
      <c r="G23" s="301"/>
      <c r="H23" s="298"/>
      <c r="I23" s="298"/>
      <c r="J23" s="298"/>
      <c r="K23" s="298"/>
    </row>
    <row r="24" spans="1:11">
      <c r="A24" s="295" t="s">
        <v>585</v>
      </c>
      <c r="B24" s="296" t="s">
        <v>586</v>
      </c>
      <c r="C24" s="295">
        <v>559882.13</v>
      </c>
      <c r="D24" s="295">
        <v>559882.13</v>
      </c>
      <c r="E24" s="295">
        <f t="shared" si="1"/>
        <v>0</v>
      </c>
      <c r="F24" s="302"/>
      <c r="G24" s="301"/>
      <c r="H24" s="298"/>
      <c r="I24" s="298"/>
      <c r="J24" s="298"/>
      <c r="K24" s="298"/>
    </row>
    <row r="25" spans="1:11">
      <c r="A25" s="295" t="s">
        <v>587</v>
      </c>
      <c r="B25" s="296" t="s">
        <v>588</v>
      </c>
      <c r="C25" s="295">
        <v>100303.74</v>
      </c>
      <c r="D25" s="295">
        <v>101250</v>
      </c>
      <c r="E25" s="295">
        <f t="shared" si="1"/>
        <v>946.25999999999476</v>
      </c>
      <c r="F25" s="302"/>
      <c r="G25" s="301"/>
      <c r="H25" s="298"/>
      <c r="I25" s="298"/>
      <c r="J25" s="298"/>
      <c r="K25" s="298"/>
    </row>
    <row r="26" spans="1:11">
      <c r="A26" s="295" t="s">
        <v>589</v>
      </c>
      <c r="B26" s="296" t="s">
        <v>590</v>
      </c>
      <c r="C26" s="295">
        <v>2282.1799999999998</v>
      </c>
      <c r="D26" s="295">
        <v>1063.18</v>
      </c>
      <c r="E26" s="299">
        <f t="shared" si="1"/>
        <v>-1218.9999999999998</v>
      </c>
      <c r="F26" s="302"/>
      <c r="G26" s="301"/>
      <c r="H26" s="298"/>
      <c r="I26" s="298"/>
      <c r="J26" s="298"/>
      <c r="K26" s="298"/>
    </row>
    <row r="27" spans="1:11">
      <c r="A27" s="295" t="s">
        <v>591</v>
      </c>
      <c r="B27" s="296" t="s">
        <v>592</v>
      </c>
      <c r="C27" s="295">
        <v>8500</v>
      </c>
      <c r="E27" s="299">
        <f t="shared" si="1"/>
        <v>-8500</v>
      </c>
      <c r="F27" s="302"/>
      <c r="G27" s="301"/>
      <c r="H27" s="298"/>
      <c r="I27" s="298"/>
      <c r="J27" s="298"/>
      <c r="K27" s="298"/>
    </row>
    <row r="28" spans="1:11">
      <c r="A28" s="295" t="s">
        <v>593</v>
      </c>
      <c r="B28" s="296" t="s">
        <v>594</v>
      </c>
      <c r="C28" s="295">
        <v>459694.79</v>
      </c>
      <c r="D28" s="295">
        <v>460745.5</v>
      </c>
      <c r="E28" s="295">
        <f t="shared" si="1"/>
        <v>1050.710000000021</v>
      </c>
      <c r="F28" s="302"/>
      <c r="G28" s="301"/>
      <c r="H28" s="298"/>
      <c r="I28" s="298"/>
      <c r="J28" s="298"/>
      <c r="K28" s="298"/>
    </row>
    <row r="29" spans="1:11">
      <c r="A29" s="295" t="s">
        <v>595</v>
      </c>
      <c r="B29" s="296" t="s">
        <v>596</v>
      </c>
      <c r="C29" s="295">
        <v>376000</v>
      </c>
      <c r="D29" s="295">
        <v>486200</v>
      </c>
      <c r="E29" s="295">
        <f t="shared" si="1"/>
        <v>110200</v>
      </c>
      <c r="F29" s="302"/>
      <c r="G29" s="301"/>
      <c r="H29" s="298"/>
      <c r="I29" s="298"/>
      <c r="J29" s="298"/>
      <c r="K29" s="298"/>
    </row>
    <row r="30" spans="1:11">
      <c r="A30" s="295" t="s">
        <v>597</v>
      </c>
      <c r="B30" s="296" t="s">
        <v>598</v>
      </c>
      <c r="C30" s="295">
        <v>3000</v>
      </c>
      <c r="E30" s="299">
        <f t="shared" si="1"/>
        <v>-3000</v>
      </c>
      <c r="F30" s="302"/>
      <c r="G30" s="301"/>
      <c r="H30" s="298"/>
      <c r="I30" s="298"/>
      <c r="J30" s="298"/>
      <c r="K30" s="298"/>
    </row>
    <row r="31" spans="1:11">
      <c r="A31" s="295" t="s">
        <v>599</v>
      </c>
      <c r="B31" s="296" t="s">
        <v>600</v>
      </c>
      <c r="C31" s="295">
        <v>37260</v>
      </c>
      <c r="D31" s="295">
        <v>37620</v>
      </c>
      <c r="E31" s="295">
        <f t="shared" si="1"/>
        <v>360</v>
      </c>
      <c r="F31" s="302"/>
      <c r="G31" s="301"/>
      <c r="H31" s="298"/>
      <c r="I31" s="298"/>
      <c r="J31" s="298"/>
      <c r="K31" s="298"/>
    </row>
    <row r="32" spans="1:11">
      <c r="A32" s="295" t="s">
        <v>601</v>
      </c>
      <c r="B32" s="296" t="s">
        <v>602</v>
      </c>
      <c r="C32" s="295">
        <v>1168.92</v>
      </c>
      <c r="D32" s="295">
        <v>1168.92</v>
      </c>
      <c r="E32" s="295">
        <f t="shared" si="1"/>
        <v>0</v>
      </c>
      <c r="F32" s="302"/>
      <c r="G32" s="301"/>
      <c r="H32" s="298"/>
      <c r="I32" s="298"/>
      <c r="J32" s="298"/>
      <c r="K32" s="298"/>
    </row>
    <row r="33" spans="1:11">
      <c r="A33" s="295" t="s">
        <v>603</v>
      </c>
      <c r="B33" s="296" t="s">
        <v>604</v>
      </c>
      <c r="C33" s="295">
        <v>43000</v>
      </c>
      <c r="D33" s="295">
        <v>52000</v>
      </c>
      <c r="E33" s="295">
        <f t="shared" si="1"/>
        <v>9000</v>
      </c>
      <c r="F33" s="302"/>
      <c r="G33" s="301"/>
      <c r="H33" s="298"/>
      <c r="I33" s="298"/>
      <c r="J33" s="298"/>
      <c r="K33" s="298"/>
    </row>
    <row r="34" spans="1:11">
      <c r="A34" s="295" t="s">
        <v>605</v>
      </c>
      <c r="B34" s="296" t="s">
        <v>606</v>
      </c>
      <c r="C34" s="295">
        <v>3000</v>
      </c>
      <c r="E34" s="299">
        <f t="shared" si="1"/>
        <v>-3000</v>
      </c>
      <c r="F34" s="302"/>
      <c r="G34" s="301"/>
      <c r="H34" s="298"/>
      <c r="I34" s="298"/>
      <c r="J34" s="298"/>
      <c r="K34" s="298"/>
    </row>
    <row r="35" spans="1:11">
      <c r="A35" s="295" t="s">
        <v>607</v>
      </c>
      <c r="B35" s="296" t="s">
        <v>608</v>
      </c>
      <c r="C35" s="295">
        <v>50000</v>
      </c>
      <c r="D35" s="295">
        <v>70000</v>
      </c>
      <c r="E35" s="295">
        <f t="shared" si="1"/>
        <v>20000</v>
      </c>
      <c r="F35" s="302"/>
      <c r="G35" s="301"/>
      <c r="H35" s="298"/>
      <c r="I35" s="298"/>
      <c r="J35" s="298"/>
      <c r="K35" s="298"/>
    </row>
    <row r="36" spans="1:11">
      <c r="A36" s="295" t="s">
        <v>607</v>
      </c>
      <c r="B36" s="296" t="s">
        <v>609</v>
      </c>
      <c r="C36" s="295">
        <v>48423</v>
      </c>
      <c r="D36" s="295">
        <v>38423</v>
      </c>
      <c r="E36" s="299">
        <f t="shared" si="1"/>
        <v>-10000</v>
      </c>
      <c r="F36" s="302"/>
      <c r="G36" s="301"/>
      <c r="H36" s="298"/>
      <c r="I36" s="298"/>
      <c r="J36" s="298"/>
      <c r="K36" s="298"/>
    </row>
    <row r="37" spans="1:11">
      <c r="A37" s="295" t="s">
        <v>610</v>
      </c>
      <c r="B37" s="296" t="s">
        <v>611</v>
      </c>
      <c r="C37" s="295">
        <v>500</v>
      </c>
      <c r="E37" s="299">
        <f t="shared" si="1"/>
        <v>-500</v>
      </c>
      <c r="F37" s="302"/>
      <c r="G37" s="301"/>
      <c r="H37" s="298"/>
      <c r="I37" s="298"/>
      <c r="J37" s="298"/>
      <c r="K37" s="298"/>
    </row>
    <row r="38" spans="1:11">
      <c r="A38" s="295" t="s">
        <v>612</v>
      </c>
      <c r="B38" s="296" t="s">
        <v>613</v>
      </c>
      <c r="C38" s="295">
        <v>320969</v>
      </c>
      <c r="D38" s="295">
        <v>23670</v>
      </c>
      <c r="E38" s="299">
        <f t="shared" si="1"/>
        <v>-297299</v>
      </c>
      <c r="F38" s="302"/>
      <c r="G38" s="301"/>
      <c r="H38" s="298"/>
      <c r="I38" s="298"/>
      <c r="J38" s="298"/>
      <c r="K38" s="298"/>
    </row>
    <row r="39" spans="1:11">
      <c r="D39" s="295">
        <v>52504</v>
      </c>
      <c r="E39" s="295">
        <f t="shared" si="1"/>
        <v>52504</v>
      </c>
      <c r="F39" s="302"/>
      <c r="G39" s="301"/>
      <c r="H39" s="298"/>
      <c r="I39" s="298"/>
      <c r="J39" s="298"/>
      <c r="K39" s="298"/>
    </row>
    <row r="40" spans="1:11">
      <c r="D40" s="295">
        <v>22664</v>
      </c>
      <c r="E40" s="295">
        <f t="shared" si="1"/>
        <v>22664</v>
      </c>
      <c r="F40" s="302"/>
      <c r="G40" s="301"/>
      <c r="H40" s="298"/>
      <c r="I40" s="298"/>
      <c r="J40" s="298"/>
      <c r="K40" s="298"/>
    </row>
    <row r="41" spans="1:11">
      <c r="D41" s="295">
        <v>13290</v>
      </c>
      <c r="E41" s="295">
        <f t="shared" si="1"/>
        <v>13290</v>
      </c>
      <c r="F41" s="302"/>
      <c r="G41" s="301"/>
      <c r="H41" s="298"/>
      <c r="I41" s="298"/>
      <c r="J41" s="298"/>
      <c r="K41" s="298"/>
    </row>
    <row r="42" spans="1:11">
      <c r="D42" s="295">
        <v>23112</v>
      </c>
      <c r="E42" s="295">
        <f t="shared" si="1"/>
        <v>23112</v>
      </c>
      <c r="F42" s="302"/>
      <c r="G42" s="301"/>
      <c r="H42" s="298"/>
      <c r="I42" s="298"/>
      <c r="J42" s="298"/>
      <c r="K42" s="298"/>
    </row>
    <row r="43" spans="1:11">
      <c r="D43" s="295">
        <v>22185</v>
      </c>
      <c r="E43" s="295">
        <f t="shared" si="1"/>
        <v>22185</v>
      </c>
      <c r="F43" s="302"/>
      <c r="G43" s="301"/>
      <c r="H43" s="298"/>
      <c r="I43" s="298"/>
      <c r="J43" s="298"/>
      <c r="K43" s="298"/>
    </row>
    <row r="44" spans="1:11">
      <c r="D44" s="295">
        <v>41600</v>
      </c>
      <c r="E44" s="295">
        <f t="shared" si="1"/>
        <v>41600</v>
      </c>
      <c r="F44" s="302"/>
      <c r="G44" s="301"/>
      <c r="H44" s="298"/>
      <c r="I44" s="298"/>
      <c r="J44" s="298"/>
      <c r="K44" s="298"/>
    </row>
    <row r="45" spans="1:11">
      <c r="D45" s="295">
        <v>13752</v>
      </c>
      <c r="E45" s="295">
        <f t="shared" si="1"/>
        <v>13752</v>
      </c>
      <c r="F45" s="302"/>
      <c r="G45" s="301"/>
      <c r="H45" s="298"/>
      <c r="I45" s="298"/>
      <c r="J45" s="298"/>
      <c r="K45" s="298"/>
    </row>
    <row r="46" spans="1:11">
      <c r="D46" s="295">
        <v>7529</v>
      </c>
      <c r="E46" s="295">
        <f t="shared" si="1"/>
        <v>7529</v>
      </c>
      <c r="F46" s="302"/>
      <c r="G46" s="301"/>
      <c r="H46" s="298"/>
      <c r="I46" s="298"/>
      <c r="J46" s="298"/>
      <c r="K46" s="298"/>
    </row>
    <row r="47" spans="1:11">
      <c r="D47" s="295">
        <v>19315</v>
      </c>
      <c r="E47" s="295">
        <f t="shared" si="1"/>
        <v>19315</v>
      </c>
      <c r="F47" s="302"/>
      <c r="G47" s="301"/>
      <c r="H47" s="298"/>
      <c r="I47" s="298"/>
      <c r="J47" s="298"/>
      <c r="K47" s="298"/>
    </row>
    <row r="48" spans="1:11">
      <c r="D48" s="295">
        <v>19315</v>
      </c>
      <c r="E48" s="295">
        <f t="shared" si="1"/>
        <v>19315</v>
      </c>
      <c r="F48" s="302"/>
      <c r="G48" s="301"/>
      <c r="H48" s="298"/>
      <c r="I48" s="298"/>
      <c r="J48" s="298"/>
      <c r="K48" s="298"/>
    </row>
    <row r="49" spans="1:11">
      <c r="D49" s="295">
        <v>19704</v>
      </c>
      <c r="E49" s="295">
        <f t="shared" si="1"/>
        <v>19704</v>
      </c>
      <c r="F49" s="302"/>
      <c r="G49" s="301"/>
      <c r="H49" s="298"/>
      <c r="I49" s="298"/>
      <c r="J49" s="298"/>
      <c r="K49" s="298"/>
    </row>
    <row r="50" spans="1:11">
      <c r="D50" s="295">
        <v>15240</v>
      </c>
      <c r="E50" s="295">
        <f t="shared" si="1"/>
        <v>15240</v>
      </c>
      <c r="F50" s="302"/>
      <c r="G50" s="301"/>
      <c r="H50" s="298"/>
      <c r="I50" s="298"/>
      <c r="J50" s="298"/>
      <c r="K50" s="298"/>
    </row>
    <row r="51" spans="1:11">
      <c r="D51" s="295">
        <v>27089</v>
      </c>
      <c r="E51" s="295">
        <f t="shared" si="1"/>
        <v>27089</v>
      </c>
      <c r="F51" s="302"/>
      <c r="G51" s="301"/>
      <c r="H51" s="298"/>
      <c r="I51" s="298"/>
      <c r="J51" s="298"/>
      <c r="K51" s="298"/>
    </row>
    <row r="52" spans="1:11">
      <c r="A52" s="295" t="s">
        <v>614</v>
      </c>
      <c r="B52" s="296" t="s">
        <v>615</v>
      </c>
      <c r="C52" s="295">
        <v>65505.03</v>
      </c>
      <c r="E52" s="299">
        <f t="shared" si="1"/>
        <v>-65505.03</v>
      </c>
      <c r="F52" s="302"/>
      <c r="G52" s="301"/>
      <c r="H52" s="298"/>
      <c r="I52" s="298"/>
      <c r="J52" s="298"/>
      <c r="K52" s="298"/>
    </row>
    <row r="53" spans="1:11">
      <c r="A53" s="295" t="s">
        <v>616</v>
      </c>
      <c r="B53" s="296" t="s">
        <v>617</v>
      </c>
      <c r="C53" s="295">
        <v>40000</v>
      </c>
      <c r="D53" s="295">
        <v>39626.17</v>
      </c>
      <c r="E53" s="299">
        <f t="shared" si="1"/>
        <v>-373.83000000000175</v>
      </c>
      <c r="F53" s="302"/>
      <c r="G53" s="301"/>
      <c r="H53" s="298"/>
      <c r="I53" s="298"/>
      <c r="J53" s="298"/>
      <c r="K53" s="298"/>
    </row>
    <row r="54" spans="1:11">
      <c r="A54" s="295" t="s">
        <v>616</v>
      </c>
      <c r="B54" s="296" t="s">
        <v>618</v>
      </c>
      <c r="C54" s="297">
        <v>1145.6400000000001</v>
      </c>
      <c r="D54" s="297">
        <v>1199.1300000000001</v>
      </c>
      <c r="E54" s="295">
        <f t="shared" si="1"/>
        <v>53.490000000000009</v>
      </c>
      <c r="F54" s="302"/>
      <c r="G54" s="301"/>
      <c r="H54" s="298"/>
      <c r="I54" s="298"/>
      <c r="J54" s="298"/>
      <c r="K54" s="298"/>
    </row>
    <row r="55" spans="1:11">
      <c r="A55" s="295" t="s">
        <v>619</v>
      </c>
      <c r="B55" s="296" t="s">
        <v>620</v>
      </c>
      <c r="C55" s="297">
        <v>16322.92</v>
      </c>
      <c r="D55" s="297">
        <v>20517.439999999999</v>
      </c>
      <c r="E55" s="295">
        <f t="shared" si="1"/>
        <v>4194.5199999999986</v>
      </c>
      <c r="F55" s="302"/>
      <c r="G55" s="301"/>
      <c r="H55" s="298"/>
      <c r="I55" s="298"/>
      <c r="J55" s="298"/>
      <c r="K55" s="298"/>
    </row>
    <row r="56" spans="1:11">
      <c r="A56" s="295" t="s">
        <v>621</v>
      </c>
      <c r="B56" s="296" t="s">
        <v>622</v>
      </c>
      <c r="C56" s="295">
        <v>10500</v>
      </c>
      <c r="E56" s="299">
        <f t="shared" si="1"/>
        <v>-10500</v>
      </c>
      <c r="F56" s="302"/>
      <c r="G56" s="301"/>
      <c r="H56" s="298"/>
      <c r="I56" s="298"/>
      <c r="J56" s="298"/>
      <c r="K56" s="298"/>
    </row>
    <row r="57" spans="1:11">
      <c r="A57" s="295" t="s">
        <v>623</v>
      </c>
      <c r="B57" s="296" t="s">
        <v>624</v>
      </c>
      <c r="C57" s="295">
        <v>10866.36</v>
      </c>
      <c r="D57" s="295">
        <v>14380.03</v>
      </c>
      <c r="E57" s="295">
        <f t="shared" si="1"/>
        <v>3513.67</v>
      </c>
      <c r="F57" s="302"/>
      <c r="G57" s="301"/>
      <c r="H57" s="298"/>
      <c r="I57" s="298"/>
      <c r="J57" s="298"/>
      <c r="K57" s="298"/>
    </row>
    <row r="58" spans="1:11">
      <c r="F58" s="302"/>
    </row>
    <row r="59" spans="1:11">
      <c r="F59" s="302"/>
    </row>
    <row r="60" spans="1:11">
      <c r="C60" s="295">
        <f>SUM(C22:C59)</f>
        <v>2182326.0799999996</v>
      </c>
      <c r="D60" s="295">
        <f>SUM(D22:D57)</f>
        <v>2208471.8699999996</v>
      </c>
      <c r="E60" s="295">
        <f>SUM(E22:E57)</f>
        <v>26145.79000000003</v>
      </c>
      <c r="F60" s="303">
        <f>+E23+E26+E27+E30+E34+E36+E37+E38+E52+E53+E56</f>
        <v>-420471.86000000004</v>
      </c>
    </row>
    <row r="62" spans="1:11">
      <c r="E62" s="295">
        <f>+D60-C60</f>
        <v>26145.790000000037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1"/>
  <sheetViews>
    <sheetView topLeftCell="S1" workbookViewId="0">
      <selection activeCell="C12" sqref="C12"/>
    </sheetView>
  </sheetViews>
  <sheetFormatPr defaultRowHeight="22.5"/>
  <cols>
    <col min="1" max="1" width="27.625" style="22" customWidth="1"/>
    <col min="2" max="3" width="11.125" style="22" customWidth="1"/>
    <col min="4" max="5" width="12.25" style="22" customWidth="1"/>
    <col min="6" max="11" width="13.125" style="22" customWidth="1"/>
    <col min="12" max="17" width="12.625" style="22" customWidth="1"/>
    <col min="18" max="21" width="12.875" style="22" customWidth="1"/>
    <col min="22" max="27" width="13.375" style="22" customWidth="1"/>
    <col min="28" max="16384" width="9" style="22"/>
  </cols>
  <sheetData>
    <row r="1" spans="1:27" ht="23.25">
      <c r="A1" s="21" t="s">
        <v>82</v>
      </c>
    </row>
    <row r="2" spans="1:27" ht="23.25">
      <c r="A2" s="21" t="s">
        <v>1</v>
      </c>
    </row>
    <row r="3" spans="1:27">
      <c r="A3" s="23" t="s">
        <v>2</v>
      </c>
      <c r="B3" s="311" t="s">
        <v>83</v>
      </c>
      <c r="C3" s="307"/>
      <c r="D3" s="309" t="s">
        <v>84</v>
      </c>
      <c r="E3" s="310"/>
      <c r="F3" s="309" t="s">
        <v>85</v>
      </c>
      <c r="G3" s="310"/>
      <c r="H3" s="309" t="s">
        <v>86</v>
      </c>
      <c r="I3" s="310"/>
      <c r="J3" s="309" t="s">
        <v>87</v>
      </c>
      <c r="K3" s="310"/>
      <c r="L3" s="309" t="s">
        <v>88</v>
      </c>
      <c r="M3" s="310"/>
      <c r="N3" s="309" t="s">
        <v>89</v>
      </c>
      <c r="O3" s="310"/>
      <c r="P3" s="309" t="s">
        <v>90</v>
      </c>
      <c r="Q3" s="310"/>
      <c r="R3" s="309" t="s">
        <v>91</v>
      </c>
      <c r="S3" s="310"/>
      <c r="T3" s="309" t="s">
        <v>92</v>
      </c>
      <c r="U3" s="310"/>
      <c r="V3" s="309" t="s">
        <v>93</v>
      </c>
      <c r="W3" s="310"/>
      <c r="X3" s="309" t="s">
        <v>94</v>
      </c>
      <c r="Y3" s="310"/>
      <c r="Z3" s="309" t="s">
        <v>95</v>
      </c>
      <c r="AA3" s="310"/>
    </row>
    <row r="4" spans="1:27">
      <c r="A4" s="24"/>
      <c r="B4" s="24" t="s">
        <v>10</v>
      </c>
      <c r="C4" s="25" t="s">
        <v>96</v>
      </c>
      <c r="D4" s="24" t="s">
        <v>10</v>
      </c>
      <c r="E4" s="25" t="s">
        <v>96</v>
      </c>
      <c r="F4" s="24" t="s">
        <v>10</v>
      </c>
      <c r="G4" s="25" t="s">
        <v>96</v>
      </c>
      <c r="H4" s="24" t="s">
        <v>10</v>
      </c>
      <c r="I4" s="25" t="s">
        <v>96</v>
      </c>
      <c r="J4" s="24" t="s">
        <v>10</v>
      </c>
      <c r="K4" s="25" t="s">
        <v>96</v>
      </c>
      <c r="L4" s="24" t="s">
        <v>10</v>
      </c>
      <c r="M4" s="25" t="s">
        <v>96</v>
      </c>
      <c r="N4" s="24" t="s">
        <v>10</v>
      </c>
      <c r="O4" s="25" t="s">
        <v>96</v>
      </c>
      <c r="P4" s="24" t="s">
        <v>10</v>
      </c>
      <c r="Q4" s="25" t="s">
        <v>96</v>
      </c>
      <c r="R4" s="24" t="s">
        <v>10</v>
      </c>
      <c r="S4" s="25" t="s">
        <v>96</v>
      </c>
      <c r="T4" s="26" t="s">
        <v>10</v>
      </c>
      <c r="U4" s="25" t="s">
        <v>96</v>
      </c>
      <c r="V4" s="24" t="s">
        <v>10</v>
      </c>
      <c r="W4" s="25" t="s">
        <v>96</v>
      </c>
      <c r="X4" s="24" t="s">
        <v>10</v>
      </c>
      <c r="Y4" s="25" t="s">
        <v>96</v>
      </c>
      <c r="Z4" s="24" t="s">
        <v>10</v>
      </c>
      <c r="AA4" s="25" t="s">
        <v>96</v>
      </c>
    </row>
    <row r="5" spans="1:27">
      <c r="A5" s="27" t="s">
        <v>74</v>
      </c>
      <c r="B5" s="28">
        <v>58653</v>
      </c>
      <c r="C5" s="29">
        <v>0</v>
      </c>
      <c r="D5" s="30">
        <v>20333.8</v>
      </c>
      <c r="E5" s="29">
        <v>0</v>
      </c>
      <c r="F5" s="30">
        <v>84902.73</v>
      </c>
      <c r="G5" s="29">
        <v>0</v>
      </c>
      <c r="H5" s="28">
        <v>32688</v>
      </c>
      <c r="I5" s="29">
        <v>0</v>
      </c>
      <c r="J5" s="30">
        <v>121093</v>
      </c>
      <c r="K5" s="29">
        <v>0</v>
      </c>
      <c r="L5" s="30">
        <v>251998</v>
      </c>
      <c r="M5" s="29">
        <v>0</v>
      </c>
      <c r="N5" s="30">
        <v>42890</v>
      </c>
      <c r="O5" s="29">
        <v>0</v>
      </c>
      <c r="P5" s="30">
        <v>233138</v>
      </c>
      <c r="Q5" s="29">
        <v>0</v>
      </c>
      <c r="R5" s="28">
        <v>548282.31999999995</v>
      </c>
      <c r="S5" s="29">
        <v>0</v>
      </c>
      <c r="T5" s="30">
        <v>187962</v>
      </c>
      <c r="U5" s="29">
        <v>0</v>
      </c>
      <c r="V5" s="30">
        <v>318238</v>
      </c>
      <c r="W5" s="29">
        <v>0</v>
      </c>
      <c r="X5" s="30">
        <v>15717</v>
      </c>
      <c r="Y5" s="29">
        <v>0</v>
      </c>
      <c r="Z5" s="29">
        <f>+B5+D5+F5+H5+J5+L5+N5+P5+R5+T5+V5+X5</f>
        <v>1915895.85</v>
      </c>
      <c r="AA5" s="29">
        <f>+C5+E5+G5+I5+K5+M5+O5+Q5+S5+U5+W5+Y5</f>
        <v>0</v>
      </c>
    </row>
    <row r="6" spans="1:27">
      <c r="A6" s="31" t="s">
        <v>97</v>
      </c>
      <c r="B6" s="32">
        <v>894575.46</v>
      </c>
      <c r="C6" s="33">
        <v>0</v>
      </c>
      <c r="D6" s="34">
        <v>422290.35</v>
      </c>
      <c r="E6" s="33">
        <v>0</v>
      </c>
      <c r="F6" s="34">
        <v>1356430.69</v>
      </c>
      <c r="G6" s="33">
        <v>0</v>
      </c>
      <c r="H6" s="32">
        <v>2675694</v>
      </c>
      <c r="I6" s="33">
        <v>0</v>
      </c>
      <c r="J6" s="34">
        <v>1332463.04</v>
      </c>
      <c r="K6" s="33">
        <v>0</v>
      </c>
      <c r="L6" s="34">
        <v>828388.04</v>
      </c>
      <c r="M6" s="33">
        <v>0</v>
      </c>
      <c r="N6" s="34">
        <v>1117079.26</v>
      </c>
      <c r="O6" s="33">
        <v>0</v>
      </c>
      <c r="P6" s="34">
        <v>2411141.91</v>
      </c>
      <c r="Q6" s="33">
        <v>0</v>
      </c>
      <c r="R6" s="32">
        <v>1357072.14</v>
      </c>
      <c r="S6" s="33">
        <v>0</v>
      </c>
      <c r="T6" s="34">
        <v>433374.18</v>
      </c>
      <c r="U6" s="33">
        <v>0</v>
      </c>
      <c r="V6" s="34">
        <v>1679467.45</v>
      </c>
      <c r="W6" s="33">
        <v>0</v>
      </c>
      <c r="X6" s="34">
        <v>604361.46</v>
      </c>
      <c r="Y6" s="33">
        <v>0</v>
      </c>
      <c r="Z6" s="33">
        <f t="shared" ref="Z6:AA21" si="0">+B6+D6+F6+H6+J6+L6+N6+P6+R6+T6+V6+X6</f>
        <v>15112337.98</v>
      </c>
      <c r="AA6" s="33">
        <f t="shared" si="0"/>
        <v>0</v>
      </c>
    </row>
    <row r="7" spans="1:27">
      <c r="A7" s="31" t="s">
        <v>98</v>
      </c>
      <c r="B7" s="32">
        <v>0</v>
      </c>
      <c r="C7" s="33">
        <v>0</v>
      </c>
      <c r="D7" s="34">
        <v>0</v>
      </c>
      <c r="E7" s="33">
        <v>0</v>
      </c>
      <c r="F7" s="34">
        <v>9900.9500000000007</v>
      </c>
      <c r="G7" s="33">
        <v>0</v>
      </c>
      <c r="H7" s="32">
        <v>0</v>
      </c>
      <c r="I7" s="33">
        <v>0</v>
      </c>
      <c r="J7" s="34">
        <v>0</v>
      </c>
      <c r="K7" s="33">
        <v>0</v>
      </c>
      <c r="L7" s="34">
        <v>5821.85</v>
      </c>
      <c r="M7" s="33">
        <v>0</v>
      </c>
      <c r="N7" s="34">
        <v>0</v>
      </c>
      <c r="O7" s="33">
        <v>0</v>
      </c>
      <c r="P7" s="34">
        <v>0</v>
      </c>
      <c r="Q7" s="33">
        <v>0</v>
      </c>
      <c r="R7" s="32">
        <v>3199.36</v>
      </c>
      <c r="S7" s="33">
        <v>0</v>
      </c>
      <c r="T7" s="34">
        <v>0</v>
      </c>
      <c r="U7" s="33">
        <v>0</v>
      </c>
      <c r="V7" s="34">
        <v>0</v>
      </c>
      <c r="W7" s="33">
        <v>0</v>
      </c>
      <c r="X7" s="34">
        <v>3205.4</v>
      </c>
      <c r="Y7" s="33">
        <v>0</v>
      </c>
      <c r="Z7" s="33">
        <f t="shared" si="0"/>
        <v>22127.56</v>
      </c>
      <c r="AA7" s="33">
        <f t="shared" si="0"/>
        <v>0</v>
      </c>
    </row>
    <row r="8" spans="1:27">
      <c r="A8" s="31" t="s">
        <v>75</v>
      </c>
      <c r="B8" s="32">
        <v>0</v>
      </c>
      <c r="C8" s="33">
        <v>0</v>
      </c>
      <c r="D8" s="34">
        <v>0</v>
      </c>
      <c r="E8" s="33">
        <v>0</v>
      </c>
      <c r="F8" s="34">
        <v>0</v>
      </c>
      <c r="G8" s="33">
        <v>0</v>
      </c>
      <c r="H8" s="32">
        <v>0</v>
      </c>
      <c r="I8" s="33">
        <v>0</v>
      </c>
      <c r="J8" s="34">
        <v>0</v>
      </c>
      <c r="K8" s="33">
        <v>0</v>
      </c>
      <c r="L8" s="34">
        <v>13269.82</v>
      </c>
      <c r="M8" s="33">
        <v>0</v>
      </c>
      <c r="N8" s="34">
        <v>0</v>
      </c>
      <c r="O8" s="33">
        <v>0</v>
      </c>
      <c r="P8" s="34">
        <v>0</v>
      </c>
      <c r="Q8" s="33">
        <v>0</v>
      </c>
      <c r="R8" s="32">
        <v>0</v>
      </c>
      <c r="S8" s="33">
        <v>0</v>
      </c>
      <c r="T8" s="34">
        <v>0</v>
      </c>
      <c r="U8" s="33">
        <v>0</v>
      </c>
      <c r="V8" s="34">
        <v>0</v>
      </c>
      <c r="W8" s="33">
        <v>0</v>
      </c>
      <c r="X8" s="34">
        <v>8291.56</v>
      </c>
      <c r="Y8" s="33">
        <v>0</v>
      </c>
      <c r="Z8" s="33">
        <f t="shared" si="0"/>
        <v>21561.379999999997</v>
      </c>
      <c r="AA8" s="33">
        <f t="shared" si="0"/>
        <v>0</v>
      </c>
    </row>
    <row r="9" spans="1:27">
      <c r="A9" s="31" t="s">
        <v>99</v>
      </c>
      <c r="B9" s="32">
        <v>0</v>
      </c>
      <c r="C9" s="33">
        <v>0</v>
      </c>
      <c r="D9" s="34">
        <v>0</v>
      </c>
      <c r="E9" s="33">
        <v>0</v>
      </c>
      <c r="F9" s="34">
        <v>0</v>
      </c>
      <c r="G9" s="33">
        <v>0</v>
      </c>
      <c r="H9" s="32">
        <v>0</v>
      </c>
      <c r="I9" s="33">
        <v>0</v>
      </c>
      <c r="J9" s="34">
        <v>0</v>
      </c>
      <c r="K9" s="33">
        <v>0</v>
      </c>
      <c r="L9" s="34">
        <v>1449.13</v>
      </c>
      <c r="M9" s="33">
        <v>0</v>
      </c>
      <c r="N9" s="34">
        <v>0</v>
      </c>
      <c r="O9" s="33">
        <v>0</v>
      </c>
      <c r="P9" s="34">
        <v>0</v>
      </c>
      <c r="Q9" s="33">
        <v>0</v>
      </c>
      <c r="R9" s="32">
        <v>0</v>
      </c>
      <c r="S9" s="33">
        <v>0</v>
      </c>
      <c r="T9" s="34">
        <v>0</v>
      </c>
      <c r="U9" s="33">
        <v>0</v>
      </c>
      <c r="V9" s="34">
        <v>0</v>
      </c>
      <c r="W9" s="33">
        <v>0</v>
      </c>
      <c r="X9" s="34">
        <v>932.75</v>
      </c>
      <c r="Y9" s="33">
        <v>0</v>
      </c>
      <c r="Z9" s="33">
        <f t="shared" si="0"/>
        <v>2381.88</v>
      </c>
      <c r="AA9" s="33">
        <f t="shared" si="0"/>
        <v>0</v>
      </c>
    </row>
    <row r="10" spans="1:27">
      <c r="A10" s="31" t="s">
        <v>100</v>
      </c>
      <c r="B10" s="32">
        <v>1945</v>
      </c>
      <c r="C10" s="33">
        <v>0</v>
      </c>
      <c r="D10" s="34">
        <v>56</v>
      </c>
      <c r="E10" s="33">
        <v>1945</v>
      </c>
      <c r="F10" s="34">
        <v>0</v>
      </c>
      <c r="G10" s="33">
        <v>56</v>
      </c>
      <c r="H10" s="32">
        <v>468</v>
      </c>
      <c r="I10" s="33">
        <v>0</v>
      </c>
      <c r="J10" s="34">
        <v>165</v>
      </c>
      <c r="K10" s="33">
        <v>468</v>
      </c>
      <c r="L10" s="34">
        <v>882</v>
      </c>
      <c r="M10" s="33">
        <v>165</v>
      </c>
      <c r="N10" s="34">
        <v>298</v>
      </c>
      <c r="O10" s="33">
        <v>882</v>
      </c>
      <c r="P10" s="34">
        <v>1807</v>
      </c>
      <c r="Q10" s="33">
        <v>298</v>
      </c>
      <c r="R10" s="32">
        <v>20</v>
      </c>
      <c r="S10" s="33">
        <v>1807</v>
      </c>
      <c r="T10" s="34">
        <v>1006</v>
      </c>
      <c r="U10" s="33">
        <v>20</v>
      </c>
      <c r="V10" s="34">
        <v>7102</v>
      </c>
      <c r="W10" s="33">
        <v>1006</v>
      </c>
      <c r="X10" s="34">
        <v>100</v>
      </c>
      <c r="Y10" s="33">
        <v>7102</v>
      </c>
      <c r="Z10" s="33">
        <f t="shared" si="0"/>
        <v>13849</v>
      </c>
      <c r="AA10" s="33">
        <f t="shared" si="0"/>
        <v>13749</v>
      </c>
    </row>
    <row r="11" spans="1:27">
      <c r="A11" s="31" t="s">
        <v>101</v>
      </c>
      <c r="B11" s="32">
        <v>0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2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33">
        <v>0</v>
      </c>
      <c r="P11" s="34">
        <v>0</v>
      </c>
      <c r="Q11" s="33">
        <v>0</v>
      </c>
      <c r="R11" s="32">
        <v>0</v>
      </c>
      <c r="S11" s="33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  <c r="Y11" s="33">
        <v>275</v>
      </c>
      <c r="Z11" s="33">
        <f t="shared" si="0"/>
        <v>0</v>
      </c>
      <c r="AA11" s="33">
        <f t="shared" si="0"/>
        <v>275</v>
      </c>
    </row>
    <row r="12" spans="1:27">
      <c r="A12" s="31" t="s">
        <v>18</v>
      </c>
      <c r="B12" s="32">
        <v>0</v>
      </c>
      <c r="C12" s="33">
        <v>915365.74</v>
      </c>
      <c r="D12" s="34">
        <v>0</v>
      </c>
      <c r="E12" s="33">
        <v>429911.14</v>
      </c>
      <c r="F12" s="34">
        <v>0</v>
      </c>
      <c r="G12" s="33">
        <v>1412115.64</v>
      </c>
      <c r="H12" s="32">
        <v>0</v>
      </c>
      <c r="I12" s="33">
        <v>2704524.45</v>
      </c>
      <c r="J12" s="34">
        <v>0</v>
      </c>
      <c r="K12" s="33">
        <v>1432128.08</v>
      </c>
      <c r="L12" s="34">
        <v>0</v>
      </c>
      <c r="M12" s="33">
        <v>981293.93</v>
      </c>
      <c r="N12" s="34">
        <v>0</v>
      </c>
      <c r="O12" s="33">
        <v>1148711.17</v>
      </c>
      <c r="P12" s="34">
        <v>0</v>
      </c>
      <c r="Q12" s="33">
        <v>2525090.5299999998</v>
      </c>
      <c r="R12" s="32">
        <v>0</v>
      </c>
      <c r="S12" s="33">
        <v>1586989.72</v>
      </c>
      <c r="T12" s="34">
        <v>0</v>
      </c>
      <c r="U12" s="33">
        <v>444087.27</v>
      </c>
      <c r="V12" s="34">
        <v>0</v>
      </c>
      <c r="W12" s="33">
        <v>2004832.62</v>
      </c>
      <c r="X12" s="34">
        <v>0</v>
      </c>
      <c r="Y12" s="33">
        <v>624040.17000000004</v>
      </c>
      <c r="Z12" s="33">
        <f t="shared" si="0"/>
        <v>0</v>
      </c>
      <c r="AA12" s="33">
        <f t="shared" si="0"/>
        <v>16209090.459999999</v>
      </c>
    </row>
    <row r="13" spans="1:27">
      <c r="A13" s="31" t="s">
        <v>102</v>
      </c>
      <c r="B13" s="32">
        <v>0</v>
      </c>
      <c r="C13" s="33">
        <v>37800</v>
      </c>
      <c r="D13" s="34">
        <v>0</v>
      </c>
      <c r="E13" s="33">
        <v>0</v>
      </c>
      <c r="F13" s="34">
        <v>0</v>
      </c>
      <c r="G13" s="33">
        <v>38145</v>
      </c>
      <c r="H13" s="32">
        <v>0</v>
      </c>
      <c r="I13" s="33">
        <v>2400</v>
      </c>
      <c r="J13" s="34">
        <v>0</v>
      </c>
      <c r="K13" s="33">
        <v>15225</v>
      </c>
      <c r="L13" s="34">
        <v>0</v>
      </c>
      <c r="M13" s="33">
        <v>117150</v>
      </c>
      <c r="N13" s="34">
        <v>0</v>
      </c>
      <c r="O13" s="33">
        <v>7900</v>
      </c>
      <c r="P13" s="34">
        <v>0</v>
      </c>
      <c r="Q13" s="33">
        <v>119877</v>
      </c>
      <c r="R13" s="32">
        <v>0</v>
      </c>
      <c r="S13" s="33">
        <v>319117</v>
      </c>
      <c r="T13" s="34">
        <v>0</v>
      </c>
      <c r="U13" s="33">
        <v>177291</v>
      </c>
      <c r="V13" s="34">
        <v>0</v>
      </c>
      <c r="W13" s="33">
        <v>0</v>
      </c>
      <c r="X13" s="34">
        <v>0</v>
      </c>
      <c r="Y13" s="33">
        <v>0</v>
      </c>
      <c r="Z13" s="33">
        <f t="shared" si="0"/>
        <v>0</v>
      </c>
      <c r="AA13" s="33">
        <f t="shared" si="0"/>
        <v>834905</v>
      </c>
    </row>
    <row r="14" spans="1:27">
      <c r="A14" s="31" t="s">
        <v>103</v>
      </c>
      <c r="B14" s="32">
        <v>0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2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4">
        <v>0</v>
      </c>
      <c r="Q14" s="33">
        <v>0</v>
      </c>
      <c r="R14" s="32">
        <v>0</v>
      </c>
      <c r="S14" s="33">
        <v>0</v>
      </c>
      <c r="T14" s="34">
        <v>0</v>
      </c>
      <c r="U14" s="33">
        <v>0</v>
      </c>
      <c r="V14" s="34">
        <v>0</v>
      </c>
      <c r="W14" s="33">
        <v>300</v>
      </c>
      <c r="X14" s="34">
        <v>0</v>
      </c>
      <c r="Y14" s="33">
        <v>300</v>
      </c>
      <c r="Z14" s="33">
        <f t="shared" si="0"/>
        <v>0</v>
      </c>
      <c r="AA14" s="33">
        <f t="shared" si="0"/>
        <v>600</v>
      </c>
    </row>
    <row r="15" spans="1:27">
      <c r="A15" s="31" t="s">
        <v>68</v>
      </c>
      <c r="B15" s="32">
        <v>0</v>
      </c>
      <c r="C15" s="33">
        <v>912.6</v>
      </c>
      <c r="D15" s="34">
        <v>0</v>
      </c>
      <c r="E15" s="33">
        <v>374.55</v>
      </c>
      <c r="F15" s="34">
        <v>0</v>
      </c>
      <c r="G15" s="33">
        <v>417.15</v>
      </c>
      <c r="H15" s="32">
        <v>0</v>
      </c>
      <c r="I15" s="33">
        <v>875.25</v>
      </c>
      <c r="J15" s="34">
        <v>0</v>
      </c>
      <c r="K15" s="33">
        <v>2681.8</v>
      </c>
      <c r="L15" s="34">
        <v>0</v>
      </c>
      <c r="M15" s="33">
        <v>799.05</v>
      </c>
      <c r="N15" s="34">
        <v>0</v>
      </c>
      <c r="O15" s="33">
        <v>1260.95</v>
      </c>
      <c r="P15" s="34">
        <v>0</v>
      </c>
      <c r="Q15" s="33">
        <v>297.89999999999998</v>
      </c>
      <c r="R15" s="32">
        <v>0</v>
      </c>
      <c r="S15" s="33">
        <v>397.75</v>
      </c>
      <c r="T15" s="34">
        <v>0</v>
      </c>
      <c r="U15" s="33">
        <v>429.05</v>
      </c>
      <c r="V15" s="34">
        <v>0</v>
      </c>
      <c r="W15" s="33">
        <v>267.64999999999998</v>
      </c>
      <c r="X15" s="34">
        <v>0</v>
      </c>
      <c r="Y15" s="33">
        <v>405</v>
      </c>
      <c r="Z15" s="33">
        <f t="shared" si="0"/>
        <v>0</v>
      </c>
      <c r="AA15" s="33">
        <f t="shared" si="0"/>
        <v>9118.6999999999989</v>
      </c>
    </row>
    <row r="16" spans="1:27">
      <c r="A16" s="31" t="s">
        <v>69</v>
      </c>
      <c r="B16" s="32">
        <v>0</v>
      </c>
      <c r="C16" s="33">
        <v>1095.1199999999999</v>
      </c>
      <c r="D16" s="34">
        <v>0</v>
      </c>
      <c r="E16" s="33">
        <v>449.46</v>
      </c>
      <c r="F16" s="34">
        <v>0</v>
      </c>
      <c r="G16" s="33">
        <v>500.58</v>
      </c>
      <c r="H16" s="32">
        <v>0</v>
      </c>
      <c r="I16" s="33">
        <v>1050.3</v>
      </c>
      <c r="J16" s="34">
        <v>0</v>
      </c>
      <c r="K16" s="33">
        <v>3218.16</v>
      </c>
      <c r="L16" s="34">
        <v>0</v>
      </c>
      <c r="M16" s="33">
        <v>958.86</v>
      </c>
      <c r="N16" s="34">
        <v>0</v>
      </c>
      <c r="O16" s="33">
        <v>1513.14</v>
      </c>
      <c r="P16" s="34">
        <v>0</v>
      </c>
      <c r="Q16" s="33">
        <v>357.48</v>
      </c>
      <c r="R16" s="32">
        <v>0</v>
      </c>
      <c r="S16" s="33">
        <v>477.3</v>
      </c>
      <c r="T16" s="34">
        <v>0</v>
      </c>
      <c r="U16" s="33">
        <v>514.86</v>
      </c>
      <c r="V16" s="34">
        <v>0</v>
      </c>
      <c r="W16" s="33">
        <v>321.18</v>
      </c>
      <c r="X16" s="34">
        <v>0</v>
      </c>
      <c r="Y16" s="33">
        <v>486</v>
      </c>
      <c r="Z16" s="33">
        <f t="shared" si="0"/>
        <v>0</v>
      </c>
      <c r="AA16" s="33">
        <f t="shared" si="0"/>
        <v>10942.439999999999</v>
      </c>
    </row>
    <row r="17" spans="1:27">
      <c r="A17" s="31" t="s">
        <v>76</v>
      </c>
      <c r="B17" s="32">
        <v>0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2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4">
        <v>0</v>
      </c>
      <c r="Q17" s="33">
        <v>0</v>
      </c>
      <c r="R17" s="32">
        <v>214.95</v>
      </c>
      <c r="S17" s="33">
        <v>0</v>
      </c>
      <c r="T17" s="34">
        <v>0</v>
      </c>
      <c r="U17" s="33">
        <v>0</v>
      </c>
      <c r="V17" s="34">
        <v>2720</v>
      </c>
      <c r="W17" s="33">
        <v>0</v>
      </c>
      <c r="X17" s="34">
        <v>0</v>
      </c>
      <c r="Y17" s="33">
        <v>0</v>
      </c>
      <c r="Z17" s="33">
        <f t="shared" si="0"/>
        <v>2934.95</v>
      </c>
      <c r="AA17" s="33">
        <f t="shared" si="0"/>
        <v>0</v>
      </c>
    </row>
    <row r="18" spans="1:27">
      <c r="A18" s="31" t="s">
        <v>70</v>
      </c>
      <c r="B18" s="32">
        <v>0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2">
        <v>0</v>
      </c>
      <c r="I18" s="33">
        <v>0</v>
      </c>
      <c r="J18" s="34">
        <v>0</v>
      </c>
      <c r="K18" s="33">
        <v>0</v>
      </c>
      <c r="L18" s="34">
        <v>0</v>
      </c>
      <c r="M18" s="33">
        <v>1442</v>
      </c>
      <c r="N18" s="34">
        <v>0</v>
      </c>
      <c r="O18" s="33">
        <v>0</v>
      </c>
      <c r="P18" s="34">
        <v>0</v>
      </c>
      <c r="Q18" s="33">
        <v>166</v>
      </c>
      <c r="R18" s="32">
        <v>0</v>
      </c>
      <c r="S18" s="33">
        <v>0</v>
      </c>
      <c r="T18" s="34">
        <v>0</v>
      </c>
      <c r="U18" s="33">
        <v>0</v>
      </c>
      <c r="V18" s="34">
        <v>0</v>
      </c>
      <c r="W18" s="33">
        <v>800</v>
      </c>
      <c r="X18" s="34">
        <v>0</v>
      </c>
      <c r="Y18" s="33">
        <v>0</v>
      </c>
      <c r="Z18" s="33">
        <f t="shared" si="0"/>
        <v>0</v>
      </c>
      <c r="AA18" s="33">
        <f t="shared" si="0"/>
        <v>2408</v>
      </c>
    </row>
    <row r="19" spans="1:27">
      <c r="A19" s="31" t="s">
        <v>65</v>
      </c>
      <c r="B19" s="32">
        <v>0</v>
      </c>
      <c r="C19" s="33">
        <v>0</v>
      </c>
      <c r="D19" s="34">
        <v>0</v>
      </c>
      <c r="E19" s="33">
        <v>10000</v>
      </c>
      <c r="F19" s="34">
        <v>0</v>
      </c>
      <c r="G19" s="33">
        <v>0</v>
      </c>
      <c r="H19" s="32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3">
        <v>0</v>
      </c>
      <c r="P19" s="34">
        <v>0</v>
      </c>
      <c r="Q19" s="33">
        <v>0</v>
      </c>
      <c r="R19" s="32">
        <v>0</v>
      </c>
      <c r="S19" s="33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  <c r="Y19" s="33">
        <v>0</v>
      </c>
      <c r="Z19" s="33">
        <f t="shared" si="0"/>
        <v>0</v>
      </c>
      <c r="AA19" s="33">
        <f t="shared" si="0"/>
        <v>10000</v>
      </c>
    </row>
    <row r="20" spans="1:27">
      <c r="A20" s="35"/>
      <c r="B20" s="36"/>
      <c r="C20" s="37"/>
      <c r="D20" s="38"/>
      <c r="E20" s="37"/>
      <c r="F20" s="38"/>
      <c r="G20" s="37"/>
      <c r="H20" s="36"/>
      <c r="I20" s="37"/>
      <c r="J20" s="38"/>
      <c r="K20" s="37"/>
      <c r="L20" s="38"/>
      <c r="M20" s="37"/>
      <c r="N20" s="38"/>
      <c r="O20" s="37"/>
      <c r="P20" s="38"/>
      <c r="Q20" s="37"/>
      <c r="R20" s="36"/>
      <c r="S20" s="37"/>
      <c r="T20" s="38"/>
      <c r="U20" s="37"/>
      <c r="V20" s="38"/>
      <c r="W20" s="37"/>
      <c r="X20" s="38"/>
      <c r="Y20" s="37"/>
      <c r="Z20" s="39">
        <f t="shared" si="0"/>
        <v>0</v>
      </c>
      <c r="AA20" s="40">
        <f t="shared" si="0"/>
        <v>0</v>
      </c>
    </row>
    <row r="21" spans="1:27">
      <c r="A21" s="41" t="s">
        <v>9</v>
      </c>
      <c r="B21" s="42">
        <f>SUM(B5:B20)</f>
        <v>955173.46</v>
      </c>
      <c r="C21" s="43">
        <f>SUM(C12:C20)</f>
        <v>955173.46</v>
      </c>
      <c r="D21" s="44">
        <f t="shared" ref="D21:Y21" si="1">+D5+D6+D7+D8+D9+D10+D11+D12+D13+D14+D15+D16+D18+D19</f>
        <v>442680.14999999997</v>
      </c>
      <c r="E21" s="43">
        <f t="shared" si="1"/>
        <v>442680.15</v>
      </c>
      <c r="F21" s="44">
        <f t="shared" si="1"/>
        <v>1451234.3699999999</v>
      </c>
      <c r="G21" s="43">
        <f t="shared" si="1"/>
        <v>1451234.3699999999</v>
      </c>
      <c r="H21" s="42">
        <f t="shared" si="1"/>
        <v>2708850</v>
      </c>
      <c r="I21" s="43">
        <f t="shared" si="1"/>
        <v>2708850</v>
      </c>
      <c r="J21" s="44">
        <f t="shared" si="1"/>
        <v>1453721.04</v>
      </c>
      <c r="K21" s="43">
        <f t="shared" si="1"/>
        <v>1453721.04</v>
      </c>
      <c r="L21" s="44">
        <f t="shared" si="1"/>
        <v>1101808.8400000001</v>
      </c>
      <c r="M21" s="43">
        <f t="shared" si="1"/>
        <v>1101808.8400000003</v>
      </c>
      <c r="N21" s="44">
        <f t="shared" si="1"/>
        <v>1160267.26</v>
      </c>
      <c r="O21" s="43">
        <f t="shared" si="1"/>
        <v>1160267.2599999998</v>
      </c>
      <c r="P21" s="44">
        <f t="shared" si="1"/>
        <v>2646086.91</v>
      </c>
      <c r="Q21" s="43">
        <f t="shared" si="1"/>
        <v>2646086.9099999997</v>
      </c>
      <c r="R21" s="42">
        <f>+R5+R6+R7+R8+R9+R10+R11+R12+R13+R14+R15+R16+R17+R18+R19</f>
        <v>1908788.77</v>
      </c>
      <c r="S21" s="43">
        <f t="shared" si="1"/>
        <v>1908788.77</v>
      </c>
      <c r="T21" s="44">
        <f t="shared" si="1"/>
        <v>622342.17999999993</v>
      </c>
      <c r="U21" s="43">
        <f t="shared" si="1"/>
        <v>622342.18000000005</v>
      </c>
      <c r="V21" s="44">
        <f>+V5+V6+V7+V8+V9+V10+V11+V12+V13+V14+V15+V16+V17+V18+V19</f>
        <v>2007527.45</v>
      </c>
      <c r="W21" s="43">
        <f t="shared" si="1"/>
        <v>2007527.45</v>
      </c>
      <c r="X21" s="44">
        <f t="shared" si="1"/>
        <v>632608.17000000004</v>
      </c>
      <c r="Y21" s="43">
        <f t="shared" si="1"/>
        <v>632608.17000000004</v>
      </c>
      <c r="Z21" s="42">
        <f t="shared" si="0"/>
        <v>17091088.599999998</v>
      </c>
      <c r="AA21" s="43">
        <f t="shared" si="0"/>
        <v>17091088.599999998</v>
      </c>
    </row>
  </sheetData>
  <mergeCells count="13">
    <mergeCell ref="L3:M3"/>
    <mergeCell ref="B3:C3"/>
    <mergeCell ref="D3:E3"/>
    <mergeCell ref="F3:G3"/>
    <mergeCell ref="H3:I3"/>
    <mergeCell ref="J3:K3"/>
    <mergeCell ref="Z3:AA3"/>
    <mergeCell ref="N3:O3"/>
    <mergeCell ref="P3:Q3"/>
    <mergeCell ref="R3:S3"/>
    <mergeCell ref="T3:U3"/>
    <mergeCell ref="V3:W3"/>
    <mergeCell ref="X3:Y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sqref="A1:F30"/>
    </sheetView>
  </sheetViews>
  <sheetFormatPr defaultRowHeight="22.5"/>
  <cols>
    <col min="1" max="1" width="40.625" style="1" customWidth="1"/>
    <col min="2" max="2" width="10.875" style="1" customWidth="1"/>
    <col min="3" max="3" width="12.125" style="1" customWidth="1"/>
    <col min="4" max="4" width="4.25" style="1" customWidth="1"/>
    <col min="5" max="5" width="12.25" style="1" customWidth="1"/>
    <col min="6" max="6" width="4.125" style="1" customWidth="1"/>
    <col min="7" max="7" width="9.375" style="1" customWidth="1"/>
    <col min="8" max="16384" width="9" style="1"/>
  </cols>
  <sheetData>
    <row r="1" spans="1:6">
      <c r="A1" s="22"/>
      <c r="B1" s="22"/>
      <c r="C1" s="22"/>
      <c r="D1" s="318" t="s">
        <v>104</v>
      </c>
      <c r="E1" s="318"/>
      <c r="F1" s="318"/>
    </row>
    <row r="2" spans="1:6">
      <c r="A2" s="22"/>
      <c r="B2" s="22"/>
      <c r="C2" s="22"/>
      <c r="D2" s="318" t="s">
        <v>120</v>
      </c>
      <c r="E2" s="318"/>
      <c r="F2" s="318"/>
    </row>
    <row r="3" spans="1:6">
      <c r="A3" s="22"/>
      <c r="B3" s="22"/>
      <c r="C3" s="22"/>
      <c r="D3" s="22"/>
      <c r="E3" s="22"/>
      <c r="F3" s="22"/>
    </row>
    <row r="4" spans="1:6" ht="26.25">
      <c r="A4" s="319" t="s">
        <v>105</v>
      </c>
      <c r="B4" s="314"/>
      <c r="C4" s="314"/>
      <c r="D4" s="314"/>
      <c r="E4" s="314"/>
      <c r="F4" s="314"/>
    </row>
    <row r="5" spans="1:6">
      <c r="A5" s="22"/>
      <c r="B5" s="22"/>
      <c r="C5" s="22"/>
      <c r="D5" s="22"/>
      <c r="E5" s="22"/>
      <c r="F5" s="22"/>
    </row>
    <row r="6" spans="1:6">
      <c r="A6" s="22" t="s">
        <v>106</v>
      </c>
      <c r="B6" s="22"/>
      <c r="C6" s="22"/>
      <c r="D6" s="22"/>
      <c r="E6" s="22"/>
      <c r="F6" s="22"/>
    </row>
    <row r="7" spans="1:6">
      <c r="A7" s="41" t="s">
        <v>2</v>
      </c>
      <c r="B7" s="25" t="s">
        <v>107</v>
      </c>
      <c r="C7" s="309" t="s">
        <v>10</v>
      </c>
      <c r="D7" s="307"/>
      <c r="E7" s="309" t="s">
        <v>96</v>
      </c>
      <c r="F7" s="307"/>
    </row>
    <row r="8" spans="1:6">
      <c r="A8" s="35" t="s">
        <v>116</v>
      </c>
      <c r="B8" s="46">
        <v>110202</v>
      </c>
      <c r="C8" s="47">
        <v>13482353</v>
      </c>
      <c r="D8" s="48">
        <v>86</v>
      </c>
      <c r="E8" s="49"/>
      <c r="F8" s="50"/>
    </row>
    <row r="9" spans="1:6">
      <c r="A9" s="35" t="s">
        <v>117</v>
      </c>
      <c r="B9" s="46">
        <v>110203</v>
      </c>
      <c r="C9" s="51"/>
      <c r="D9" s="52"/>
      <c r="E9" s="53">
        <f>+C8</f>
        <v>13482353</v>
      </c>
      <c r="F9" s="54">
        <f>+D8</f>
        <v>86</v>
      </c>
    </row>
    <row r="10" spans="1:6">
      <c r="A10" s="35"/>
      <c r="B10" s="52"/>
      <c r="C10" s="51"/>
      <c r="D10" s="52"/>
      <c r="E10" s="52"/>
      <c r="F10" s="50"/>
    </row>
    <row r="11" spans="1:6">
      <c r="A11" s="35"/>
      <c r="B11" s="52"/>
      <c r="C11" s="51"/>
      <c r="D11" s="52"/>
      <c r="E11" s="52"/>
      <c r="F11" s="50"/>
    </row>
    <row r="12" spans="1:6">
      <c r="A12" s="35"/>
      <c r="B12" s="52"/>
      <c r="C12" s="51"/>
      <c r="D12" s="52"/>
      <c r="E12" s="52"/>
      <c r="F12" s="50"/>
    </row>
    <row r="13" spans="1:6">
      <c r="A13" s="35"/>
      <c r="B13" s="52"/>
      <c r="C13" s="51"/>
      <c r="D13" s="52"/>
      <c r="E13" s="52"/>
      <c r="F13" s="50"/>
    </row>
    <row r="14" spans="1:6">
      <c r="A14" s="35"/>
      <c r="B14" s="52"/>
      <c r="C14" s="51"/>
      <c r="D14" s="52"/>
      <c r="E14" s="52"/>
      <c r="F14" s="50"/>
    </row>
    <row r="15" spans="1:6">
      <c r="A15" s="35"/>
      <c r="B15" s="52"/>
      <c r="C15" s="51"/>
      <c r="D15" s="52"/>
      <c r="E15" s="52"/>
      <c r="F15" s="50"/>
    </row>
    <row r="16" spans="1:6">
      <c r="A16" s="35"/>
      <c r="B16" s="52"/>
      <c r="C16" s="51"/>
      <c r="D16" s="52"/>
      <c r="E16" s="52"/>
      <c r="F16" s="50"/>
    </row>
    <row r="17" spans="1:6" ht="23.25" thickBot="1">
      <c r="A17" s="55"/>
      <c r="B17" s="56"/>
      <c r="C17" s="57">
        <f>+C8</f>
        <v>13482353</v>
      </c>
      <c r="D17" s="58">
        <f>+D8</f>
        <v>86</v>
      </c>
      <c r="E17" s="59">
        <f>+E9</f>
        <v>13482353</v>
      </c>
      <c r="F17" s="60">
        <f>+F9</f>
        <v>86</v>
      </c>
    </row>
    <row r="18" spans="1:6" ht="23.25" thickTop="1">
      <c r="A18" s="22"/>
      <c r="B18" s="22"/>
      <c r="C18" s="22"/>
      <c r="D18" s="22"/>
      <c r="E18" s="22"/>
      <c r="F18" s="22"/>
    </row>
    <row r="19" spans="1:6">
      <c r="A19" s="22" t="s">
        <v>119</v>
      </c>
      <c r="B19" s="22"/>
      <c r="C19" s="22"/>
      <c r="D19" s="22"/>
      <c r="E19" s="22"/>
      <c r="F19" s="22"/>
    </row>
    <row r="20" spans="1:6">
      <c r="A20" s="22" t="s">
        <v>118</v>
      </c>
      <c r="B20" s="22"/>
      <c r="C20" s="22"/>
      <c r="D20" s="22"/>
      <c r="E20" s="22"/>
      <c r="F20" s="22"/>
    </row>
    <row r="21" spans="1:6">
      <c r="A21" s="22"/>
      <c r="B21" s="22"/>
      <c r="C21" s="22"/>
      <c r="D21" s="22"/>
      <c r="E21" s="22"/>
      <c r="F21" s="22"/>
    </row>
    <row r="22" spans="1:6">
      <c r="A22" s="22"/>
      <c r="B22" s="22"/>
      <c r="C22" s="22"/>
      <c r="D22" s="22"/>
      <c r="E22" s="22"/>
      <c r="F22" s="22"/>
    </row>
    <row r="23" spans="1:6">
      <c r="A23" s="22"/>
      <c r="B23" s="22"/>
      <c r="C23" s="22"/>
      <c r="D23" s="22"/>
      <c r="E23" s="22"/>
      <c r="F23" s="22"/>
    </row>
    <row r="24" spans="1:6">
      <c r="A24" s="22"/>
      <c r="B24" s="22"/>
      <c r="C24" s="22"/>
      <c r="D24" s="22"/>
      <c r="E24" s="22"/>
      <c r="F24" s="22"/>
    </row>
    <row r="25" spans="1:6">
      <c r="A25" s="23" t="s">
        <v>108</v>
      </c>
      <c r="B25" s="320" t="s">
        <v>109</v>
      </c>
      <c r="C25" s="321"/>
      <c r="D25" s="320" t="s">
        <v>110</v>
      </c>
      <c r="E25" s="322"/>
      <c r="F25" s="321"/>
    </row>
    <row r="26" spans="1:6">
      <c r="A26" s="62"/>
      <c r="B26" s="62"/>
      <c r="C26" s="54"/>
      <c r="D26" s="63"/>
      <c r="E26" s="63"/>
      <c r="F26" s="54"/>
    </row>
    <row r="27" spans="1:6">
      <c r="A27" s="62"/>
      <c r="B27" s="62"/>
      <c r="C27" s="54"/>
      <c r="D27" s="63"/>
      <c r="E27" s="63"/>
      <c r="F27" s="54"/>
    </row>
    <row r="28" spans="1:6">
      <c r="A28" s="62"/>
      <c r="B28" s="62"/>
      <c r="C28" s="54"/>
      <c r="D28" s="63"/>
      <c r="E28" s="63"/>
      <c r="F28" s="54"/>
    </row>
    <row r="29" spans="1:6">
      <c r="A29" s="62" t="s">
        <v>111</v>
      </c>
      <c r="B29" s="312" t="s">
        <v>112</v>
      </c>
      <c r="C29" s="313"/>
      <c r="D29" s="312" t="s">
        <v>113</v>
      </c>
      <c r="E29" s="314"/>
      <c r="F29" s="313"/>
    </row>
    <row r="30" spans="1:6">
      <c r="A30" s="24" t="s">
        <v>114</v>
      </c>
      <c r="B30" s="315" t="s">
        <v>115</v>
      </c>
      <c r="C30" s="316"/>
      <c r="D30" s="315" t="s">
        <v>114</v>
      </c>
      <c r="E30" s="317"/>
      <c r="F30" s="316"/>
    </row>
  </sheetData>
  <mergeCells count="11">
    <mergeCell ref="B29:C29"/>
    <mergeCell ref="D29:F29"/>
    <mergeCell ref="B30:C30"/>
    <mergeCell ref="D30:F30"/>
    <mergeCell ref="D1:F1"/>
    <mergeCell ref="D2:F2"/>
    <mergeCell ref="A4:F4"/>
    <mergeCell ref="C7:D7"/>
    <mergeCell ref="E7:F7"/>
    <mergeCell ref="B25:C25"/>
    <mergeCell ref="D25:F25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72"/>
  <sheetViews>
    <sheetView topLeftCell="A28" workbookViewId="0">
      <selection activeCell="B32" sqref="B32:C32"/>
    </sheetView>
  </sheetViews>
  <sheetFormatPr defaultRowHeight="14.25"/>
  <cols>
    <col min="1" max="1" width="41.125" customWidth="1"/>
    <col min="2" max="2" width="8.875" customWidth="1"/>
    <col min="3" max="3" width="13.875" customWidth="1"/>
    <col min="4" max="4" width="3.625" customWidth="1"/>
    <col min="5" max="5" width="12" customWidth="1"/>
    <col min="6" max="6" width="4.125" customWidth="1"/>
  </cols>
  <sheetData>
    <row r="1" spans="1:7" ht="22.5">
      <c r="A1" s="22"/>
      <c r="B1" s="22"/>
      <c r="C1" s="22"/>
      <c r="D1" s="318" t="s">
        <v>104</v>
      </c>
      <c r="E1" s="318"/>
      <c r="F1" s="318"/>
      <c r="G1">
        <v>1</v>
      </c>
    </row>
    <row r="2" spans="1:7" ht="22.5">
      <c r="A2" s="22"/>
      <c r="B2" s="22"/>
      <c r="C2" s="22"/>
      <c r="D2" s="318" t="s">
        <v>121</v>
      </c>
      <c r="E2" s="318"/>
      <c r="F2" s="318"/>
    </row>
    <row r="3" spans="1:7" ht="22.5">
      <c r="A3" s="22"/>
      <c r="B3" s="22"/>
      <c r="C3" s="22"/>
      <c r="D3" s="22"/>
      <c r="E3" s="22"/>
      <c r="F3" s="22"/>
    </row>
    <row r="4" spans="1:7" ht="26.25">
      <c r="A4" s="319" t="s">
        <v>105</v>
      </c>
      <c r="B4" s="314"/>
      <c r="C4" s="314"/>
      <c r="D4" s="314"/>
      <c r="E4" s="314"/>
      <c r="F4" s="314"/>
    </row>
    <row r="5" spans="1:7" ht="22.5">
      <c r="A5" s="22"/>
      <c r="B5" s="22"/>
      <c r="C5" s="22"/>
      <c r="D5" s="22"/>
      <c r="E5" s="22"/>
      <c r="F5" s="22"/>
    </row>
    <row r="6" spans="1:7" ht="22.5">
      <c r="A6" s="22" t="s">
        <v>106</v>
      </c>
      <c r="B6" s="22"/>
      <c r="C6" s="22"/>
      <c r="D6" s="22"/>
      <c r="E6" s="22"/>
      <c r="F6" s="22"/>
    </row>
    <row r="7" spans="1:7" ht="22.5">
      <c r="A7" s="41" t="s">
        <v>2</v>
      </c>
      <c r="B7" s="25" t="s">
        <v>107</v>
      </c>
      <c r="C7" s="309" t="s">
        <v>10</v>
      </c>
      <c r="D7" s="307"/>
      <c r="E7" s="309" t="s">
        <v>96</v>
      </c>
      <c r="F7" s="307"/>
    </row>
    <row r="8" spans="1:7" ht="22.5">
      <c r="A8" s="35" t="s">
        <v>116</v>
      </c>
      <c r="B8" s="46">
        <v>110202</v>
      </c>
      <c r="C8" s="47">
        <v>2645043</v>
      </c>
      <c r="D8" s="48">
        <v>16</v>
      </c>
      <c r="E8" s="49"/>
      <c r="F8" s="50"/>
    </row>
    <row r="9" spans="1:7" ht="22.5">
      <c r="A9" s="35" t="s">
        <v>117</v>
      </c>
      <c r="B9" s="46">
        <v>110203</v>
      </c>
      <c r="C9" s="51"/>
      <c r="D9" s="52"/>
      <c r="E9" s="53">
        <f>+C8</f>
        <v>2645043</v>
      </c>
      <c r="F9" s="54">
        <f>+D8</f>
        <v>16</v>
      </c>
    </row>
    <row r="10" spans="1:7" ht="22.5">
      <c r="A10" s="35"/>
      <c r="B10" s="52"/>
      <c r="C10" s="51"/>
      <c r="D10" s="52"/>
      <c r="E10" s="52"/>
      <c r="F10" s="50"/>
    </row>
    <row r="11" spans="1:7" ht="22.5">
      <c r="A11" s="35"/>
      <c r="B11" s="52"/>
      <c r="C11" s="51"/>
      <c r="D11" s="52"/>
      <c r="E11" s="52"/>
      <c r="F11" s="50"/>
    </row>
    <row r="12" spans="1:7" ht="22.5">
      <c r="A12" s="35"/>
      <c r="B12" s="52"/>
      <c r="C12" s="51"/>
      <c r="D12" s="52"/>
      <c r="E12" s="52"/>
      <c r="F12" s="50"/>
    </row>
    <row r="13" spans="1:7" ht="22.5">
      <c r="A13" s="35"/>
      <c r="B13" s="52"/>
      <c r="C13" s="51"/>
      <c r="D13" s="52"/>
      <c r="E13" s="52"/>
      <c r="F13" s="50"/>
    </row>
    <row r="14" spans="1:7" ht="22.5">
      <c r="A14" s="35"/>
      <c r="B14" s="52"/>
      <c r="C14" s="51"/>
      <c r="D14" s="52"/>
      <c r="E14" s="52"/>
      <c r="F14" s="50"/>
    </row>
    <row r="15" spans="1:7" ht="22.5">
      <c r="A15" s="35"/>
      <c r="B15" s="52"/>
      <c r="C15" s="51"/>
      <c r="D15" s="52"/>
      <c r="E15" s="52"/>
      <c r="F15" s="50"/>
    </row>
    <row r="16" spans="1:7" ht="22.5">
      <c r="A16" s="35"/>
      <c r="B16" s="52"/>
      <c r="C16" s="51"/>
      <c r="D16" s="52"/>
      <c r="E16" s="52"/>
      <c r="F16" s="50"/>
    </row>
    <row r="17" spans="1:6" ht="23.25" thickBot="1">
      <c r="A17" s="55"/>
      <c r="B17" s="56"/>
      <c r="C17" s="57">
        <f>+C8</f>
        <v>2645043</v>
      </c>
      <c r="D17" s="58">
        <f>+D8</f>
        <v>16</v>
      </c>
      <c r="E17" s="59">
        <f>+E9</f>
        <v>2645043</v>
      </c>
      <c r="F17" s="60">
        <f>+F9</f>
        <v>16</v>
      </c>
    </row>
    <row r="18" spans="1:6" ht="23.25" thickTop="1">
      <c r="A18" s="22"/>
      <c r="B18" s="22"/>
      <c r="C18" s="22"/>
      <c r="D18" s="22"/>
      <c r="E18" s="22"/>
      <c r="F18" s="22"/>
    </row>
    <row r="19" spans="1:6" ht="22.5">
      <c r="A19" s="22" t="s">
        <v>119</v>
      </c>
      <c r="B19" s="22"/>
      <c r="C19" s="22"/>
      <c r="D19" s="22"/>
      <c r="E19" s="22"/>
      <c r="F19" s="22"/>
    </row>
    <row r="20" spans="1:6" ht="22.5">
      <c r="A20" s="22" t="s">
        <v>118</v>
      </c>
      <c r="B20" s="22"/>
      <c r="C20" s="22"/>
      <c r="D20" s="22"/>
      <c r="E20" s="22"/>
      <c r="F20" s="22"/>
    </row>
    <row r="21" spans="1:6" ht="22.5">
      <c r="A21" s="22"/>
      <c r="B21" s="22"/>
      <c r="C21" s="22"/>
      <c r="D21" s="22"/>
      <c r="E21" s="22"/>
      <c r="F21" s="22"/>
    </row>
    <row r="22" spans="1:6" ht="22.5">
      <c r="A22" s="22"/>
      <c r="B22" s="22"/>
      <c r="C22" s="22"/>
      <c r="D22" s="22"/>
      <c r="E22" s="22"/>
      <c r="F22" s="22"/>
    </row>
    <row r="23" spans="1:6" ht="22.5">
      <c r="A23" s="22"/>
      <c r="B23" s="22"/>
      <c r="C23" s="22"/>
      <c r="D23" s="22"/>
      <c r="E23" s="22"/>
      <c r="F23" s="22"/>
    </row>
    <row r="24" spans="1:6" ht="22.5">
      <c r="A24" s="22"/>
      <c r="B24" s="22"/>
      <c r="C24" s="22"/>
      <c r="D24" s="22"/>
      <c r="E24" s="22"/>
      <c r="F24" s="22"/>
    </row>
    <row r="25" spans="1:6" ht="22.5">
      <c r="A25" s="22"/>
      <c r="B25" s="22"/>
      <c r="C25" s="22"/>
      <c r="D25" s="22"/>
      <c r="E25" s="22"/>
      <c r="F25" s="22"/>
    </row>
    <row r="26" spans="1:6" ht="22.5">
      <c r="A26" s="22"/>
      <c r="B26" s="22"/>
      <c r="C26" s="22"/>
      <c r="D26" s="22"/>
      <c r="E26" s="22"/>
      <c r="F26" s="22"/>
    </row>
    <row r="27" spans="1:6" ht="22.5">
      <c r="A27" s="23" t="s">
        <v>108</v>
      </c>
      <c r="B27" s="320" t="s">
        <v>109</v>
      </c>
      <c r="C27" s="321"/>
      <c r="D27" s="320" t="s">
        <v>110</v>
      </c>
      <c r="E27" s="322"/>
      <c r="F27" s="321"/>
    </row>
    <row r="28" spans="1:6" ht="22.5">
      <c r="A28" s="62"/>
      <c r="B28" s="62"/>
      <c r="C28" s="54"/>
      <c r="D28" s="63"/>
      <c r="E28" s="63"/>
      <c r="F28" s="54"/>
    </row>
    <row r="29" spans="1:6" ht="22.5">
      <c r="A29" s="62"/>
      <c r="B29" s="62"/>
      <c r="C29" s="54"/>
      <c r="D29" s="63"/>
      <c r="E29" s="63"/>
      <c r="F29" s="54"/>
    </row>
    <row r="30" spans="1:6" ht="22.5">
      <c r="A30" s="62"/>
      <c r="B30" s="62"/>
      <c r="C30" s="54"/>
      <c r="D30" s="63"/>
      <c r="E30" s="63"/>
      <c r="F30" s="54"/>
    </row>
    <row r="31" spans="1:6" ht="22.5">
      <c r="A31" s="62" t="s">
        <v>111</v>
      </c>
      <c r="B31" s="312" t="s">
        <v>112</v>
      </c>
      <c r="C31" s="313"/>
      <c r="D31" s="312" t="s">
        <v>113</v>
      </c>
      <c r="E31" s="314"/>
      <c r="F31" s="313"/>
    </row>
    <row r="32" spans="1:6" ht="22.5">
      <c r="A32" s="24" t="s">
        <v>114</v>
      </c>
      <c r="B32" s="315" t="s">
        <v>115</v>
      </c>
      <c r="C32" s="316"/>
      <c r="D32" s="315" t="s">
        <v>114</v>
      </c>
      <c r="E32" s="317"/>
      <c r="F32" s="316"/>
    </row>
    <row r="33" spans="1:7" ht="22.5">
      <c r="A33" s="22"/>
      <c r="B33" s="22"/>
      <c r="C33" s="22"/>
      <c r="D33" s="318" t="s">
        <v>104</v>
      </c>
      <c r="E33" s="318"/>
      <c r="F33" s="318"/>
      <c r="G33">
        <v>2</v>
      </c>
    </row>
    <row r="34" spans="1:7" ht="22.5">
      <c r="A34" s="22"/>
      <c r="B34" s="22"/>
      <c r="C34" s="22"/>
      <c r="D34" s="318" t="s">
        <v>125</v>
      </c>
      <c r="E34" s="318"/>
      <c r="F34" s="318"/>
    </row>
    <row r="35" spans="1:7" ht="22.5">
      <c r="A35" s="22"/>
      <c r="B35" s="22"/>
      <c r="C35" s="22"/>
      <c r="D35" s="22"/>
      <c r="E35" s="22"/>
      <c r="F35" s="22"/>
    </row>
    <row r="36" spans="1:7" ht="26.25">
      <c r="A36" s="319" t="s">
        <v>105</v>
      </c>
      <c r="B36" s="314"/>
      <c r="C36" s="314"/>
      <c r="D36" s="314"/>
      <c r="E36" s="314"/>
      <c r="F36" s="314"/>
    </row>
    <row r="37" spans="1:7" ht="22.5">
      <c r="A37" s="22"/>
      <c r="B37" s="22"/>
      <c r="C37" s="22"/>
      <c r="D37" s="22"/>
      <c r="E37" s="22"/>
      <c r="F37" s="22"/>
    </row>
    <row r="38" spans="1:7" ht="22.5">
      <c r="A38" s="22" t="s">
        <v>106</v>
      </c>
      <c r="B38" s="22"/>
      <c r="C38" s="22"/>
      <c r="D38" s="22"/>
      <c r="E38" s="22"/>
      <c r="F38" s="22"/>
    </row>
    <row r="39" spans="1:7" ht="22.5">
      <c r="A39" s="45" t="s">
        <v>2</v>
      </c>
      <c r="B39" s="25" t="s">
        <v>107</v>
      </c>
      <c r="C39" s="309" t="s">
        <v>10</v>
      </c>
      <c r="D39" s="307"/>
      <c r="E39" s="309" t="s">
        <v>96</v>
      </c>
      <c r="F39" s="307"/>
    </row>
    <row r="40" spans="1:7" ht="22.5">
      <c r="A40" s="35" t="s">
        <v>630</v>
      </c>
      <c r="B40" s="46">
        <v>230199</v>
      </c>
      <c r="C40" s="47">
        <v>16100</v>
      </c>
      <c r="D40" s="48" t="s">
        <v>127</v>
      </c>
      <c r="E40" s="49"/>
      <c r="F40" s="50"/>
    </row>
    <row r="41" spans="1:7" ht="22.5">
      <c r="A41" s="35" t="s">
        <v>126</v>
      </c>
      <c r="B41" s="46">
        <v>110201</v>
      </c>
      <c r="C41" s="51"/>
      <c r="D41" s="52"/>
      <c r="E41" s="53">
        <f>+C40</f>
        <v>16100</v>
      </c>
      <c r="F41" s="54" t="str">
        <f>+D40</f>
        <v xml:space="preserve"> -</v>
      </c>
    </row>
    <row r="42" spans="1:7" ht="22.5">
      <c r="A42" s="35"/>
      <c r="B42" s="52"/>
      <c r="C42" s="51"/>
      <c r="D42" s="52"/>
      <c r="E42" s="52"/>
      <c r="F42" s="50"/>
    </row>
    <row r="43" spans="1:7" ht="22.5">
      <c r="A43" s="35"/>
      <c r="B43" s="52"/>
      <c r="C43" s="51"/>
      <c r="D43" s="52"/>
      <c r="E43" s="52"/>
      <c r="F43" s="50"/>
    </row>
    <row r="44" spans="1:7" ht="22.5">
      <c r="A44" s="35"/>
      <c r="B44" s="52"/>
      <c r="C44" s="51"/>
      <c r="D44" s="52"/>
      <c r="E44" s="52"/>
      <c r="F44" s="50"/>
    </row>
    <row r="45" spans="1:7" ht="22.5">
      <c r="A45" s="35"/>
      <c r="B45" s="52"/>
      <c r="C45" s="51"/>
      <c r="D45" s="52"/>
      <c r="E45" s="52"/>
      <c r="F45" s="50"/>
    </row>
    <row r="46" spans="1:7" ht="22.5">
      <c r="A46" s="35"/>
      <c r="B46" s="52"/>
      <c r="C46" s="51"/>
      <c r="D46" s="52"/>
      <c r="E46" s="52"/>
      <c r="F46" s="50"/>
    </row>
    <row r="47" spans="1:7" ht="22.5">
      <c r="A47" s="35"/>
      <c r="B47" s="52"/>
      <c r="C47" s="51"/>
      <c r="D47" s="52"/>
      <c r="E47" s="52"/>
      <c r="F47" s="50"/>
    </row>
    <row r="48" spans="1:7" ht="22.5">
      <c r="A48" s="35"/>
      <c r="B48" s="52"/>
      <c r="C48" s="51"/>
      <c r="D48" s="52"/>
      <c r="E48" s="52"/>
      <c r="F48" s="50"/>
    </row>
    <row r="49" spans="1:6" ht="23.25" thickBot="1">
      <c r="A49" s="55"/>
      <c r="B49" s="56"/>
      <c r="C49" s="57">
        <f>+C40</f>
        <v>16100</v>
      </c>
      <c r="D49" s="58" t="str">
        <f>+D40</f>
        <v xml:space="preserve"> -</v>
      </c>
      <c r="E49" s="59">
        <f>+E41</f>
        <v>16100</v>
      </c>
      <c r="F49" s="60" t="str">
        <f>+F41</f>
        <v xml:space="preserve"> -</v>
      </c>
    </row>
    <row r="50" spans="1:6" ht="23.25" thickTop="1">
      <c r="A50" s="22"/>
      <c r="B50" s="22"/>
      <c r="C50" s="22"/>
      <c r="D50" s="22"/>
      <c r="E50" s="22"/>
      <c r="F50" s="22"/>
    </row>
    <row r="51" spans="1:6" ht="22.5">
      <c r="A51" s="22" t="s">
        <v>128</v>
      </c>
      <c r="B51" s="22"/>
      <c r="C51" s="22"/>
      <c r="D51" s="22"/>
      <c r="E51" s="22"/>
      <c r="F51" s="22"/>
    </row>
    <row r="52" spans="1:6" ht="22.5">
      <c r="A52" s="22"/>
      <c r="B52" s="22"/>
      <c r="C52" s="22"/>
      <c r="D52" s="22"/>
      <c r="E52" s="22"/>
      <c r="F52" s="22"/>
    </row>
    <row r="53" spans="1:6" ht="22.5">
      <c r="A53" s="22"/>
      <c r="B53" s="22"/>
      <c r="C53" s="22"/>
      <c r="D53" s="22"/>
      <c r="E53" s="22"/>
      <c r="F53" s="22"/>
    </row>
    <row r="54" spans="1:6" ht="22.5">
      <c r="A54" s="22"/>
      <c r="B54" s="22"/>
      <c r="C54" s="22"/>
      <c r="D54" s="22"/>
      <c r="E54" s="22"/>
      <c r="F54" s="22"/>
    </row>
    <row r="55" spans="1:6" ht="22.5">
      <c r="A55" s="22"/>
      <c r="B55" s="22"/>
      <c r="C55" s="22"/>
      <c r="D55" s="22"/>
      <c r="E55" s="22"/>
      <c r="F55" s="22"/>
    </row>
    <row r="56" spans="1:6" ht="22.5">
      <c r="A56" s="22"/>
      <c r="B56" s="22"/>
      <c r="C56" s="22"/>
      <c r="D56" s="22"/>
      <c r="E56" s="22"/>
      <c r="F56" s="22"/>
    </row>
    <row r="57" spans="1:6" ht="22.5">
      <c r="A57" s="22"/>
      <c r="B57" s="22"/>
      <c r="C57" s="22"/>
      <c r="D57" s="22"/>
      <c r="E57" s="22"/>
      <c r="F57" s="22"/>
    </row>
    <row r="58" spans="1:6" ht="22.5">
      <c r="A58" s="22"/>
      <c r="B58" s="22"/>
      <c r="C58" s="22"/>
      <c r="D58" s="22"/>
      <c r="E58" s="22"/>
      <c r="F58" s="22"/>
    </row>
    <row r="59" spans="1:6" ht="22.5">
      <c r="A59" s="61" t="s">
        <v>108</v>
      </c>
      <c r="B59" s="320" t="s">
        <v>109</v>
      </c>
      <c r="C59" s="321"/>
      <c r="D59" s="320" t="s">
        <v>110</v>
      </c>
      <c r="E59" s="322"/>
      <c r="F59" s="321"/>
    </row>
    <row r="60" spans="1:6" ht="22.5">
      <c r="A60" s="64"/>
      <c r="B60" s="64"/>
      <c r="C60" s="54"/>
      <c r="D60" s="63"/>
      <c r="E60" s="63"/>
      <c r="F60" s="54"/>
    </row>
    <row r="61" spans="1:6" ht="22.5">
      <c r="A61" s="64"/>
      <c r="B61" s="64"/>
      <c r="C61" s="54"/>
      <c r="D61" s="63"/>
      <c r="E61" s="63"/>
      <c r="F61" s="54"/>
    </row>
    <row r="62" spans="1:6" ht="22.5">
      <c r="A62" s="64"/>
      <c r="B62" s="64"/>
      <c r="C62" s="54"/>
      <c r="D62" s="63"/>
      <c r="E62" s="63"/>
      <c r="F62" s="54"/>
    </row>
    <row r="63" spans="1:6" ht="22.5">
      <c r="A63" s="64" t="s">
        <v>111</v>
      </c>
      <c r="B63" s="312" t="s">
        <v>112</v>
      </c>
      <c r="C63" s="313"/>
      <c r="D63" s="312" t="s">
        <v>113</v>
      </c>
      <c r="E63" s="314"/>
      <c r="F63" s="313"/>
    </row>
    <row r="64" spans="1:6" ht="22.5">
      <c r="A64" s="65" t="s">
        <v>114</v>
      </c>
      <c r="B64" s="315" t="s">
        <v>115</v>
      </c>
      <c r="C64" s="316"/>
      <c r="D64" s="315" t="s">
        <v>114</v>
      </c>
      <c r="E64" s="317"/>
      <c r="F64" s="316"/>
    </row>
    <row r="65" spans="1:7" ht="22.5">
      <c r="A65" s="22"/>
      <c r="B65" s="22"/>
      <c r="C65" s="22"/>
      <c r="D65" s="318" t="s">
        <v>104</v>
      </c>
      <c r="E65" s="318"/>
      <c r="F65" s="318"/>
      <c r="G65">
        <v>3</v>
      </c>
    </row>
    <row r="66" spans="1:7" ht="22.5">
      <c r="A66" s="22"/>
      <c r="B66" s="22"/>
      <c r="C66" s="22"/>
      <c r="D66" s="318" t="s">
        <v>129</v>
      </c>
      <c r="E66" s="318"/>
      <c r="F66" s="318"/>
    </row>
    <row r="67" spans="1:7" ht="22.5">
      <c r="A67" s="22"/>
      <c r="B67" s="22"/>
      <c r="C67" s="22"/>
      <c r="D67" s="22"/>
      <c r="E67" s="22"/>
      <c r="F67" s="22"/>
    </row>
    <row r="68" spans="1:7" ht="26.25">
      <c r="A68" s="319" t="s">
        <v>105</v>
      </c>
      <c r="B68" s="314"/>
      <c r="C68" s="314"/>
      <c r="D68" s="314"/>
      <c r="E68" s="314"/>
      <c r="F68" s="314"/>
    </row>
    <row r="69" spans="1:7" ht="22.5">
      <c r="A69" s="22"/>
      <c r="B69" s="22"/>
      <c r="C69" s="22"/>
      <c r="D69" s="22"/>
      <c r="E69" s="22"/>
      <c r="F69" s="22"/>
    </row>
    <row r="70" spans="1:7" ht="22.5">
      <c r="A70" s="22" t="s">
        <v>106</v>
      </c>
      <c r="B70" s="22"/>
      <c r="C70" s="22"/>
      <c r="D70" s="22"/>
      <c r="E70" s="22"/>
      <c r="F70" s="22"/>
    </row>
    <row r="71" spans="1:7" ht="22.5">
      <c r="A71" s="45" t="s">
        <v>2</v>
      </c>
      <c r="B71" s="25" t="s">
        <v>107</v>
      </c>
      <c r="C71" s="309" t="s">
        <v>10</v>
      </c>
      <c r="D71" s="307"/>
      <c r="E71" s="309" t="s">
        <v>96</v>
      </c>
      <c r="F71" s="307"/>
    </row>
    <row r="72" spans="1:7" ht="22.5">
      <c r="A72" s="35" t="s">
        <v>630</v>
      </c>
      <c r="B72" s="46">
        <v>230199</v>
      </c>
      <c r="C72" s="47">
        <v>208987</v>
      </c>
      <c r="D72" s="48" t="s">
        <v>127</v>
      </c>
      <c r="E72" s="49"/>
      <c r="F72" s="50"/>
    </row>
    <row r="73" spans="1:7" ht="22.5">
      <c r="A73" s="35" t="s">
        <v>126</v>
      </c>
      <c r="B73" s="46">
        <v>110201</v>
      </c>
      <c r="C73" s="51"/>
      <c r="D73" s="52"/>
      <c r="E73" s="53">
        <f>+C72</f>
        <v>208987</v>
      </c>
      <c r="F73" s="54" t="str">
        <f>+D72</f>
        <v xml:space="preserve"> -</v>
      </c>
    </row>
    <row r="74" spans="1:7" ht="22.5">
      <c r="A74" s="35"/>
      <c r="B74" s="52"/>
      <c r="C74" s="51"/>
      <c r="D74" s="52"/>
      <c r="E74" s="52"/>
      <c r="F74" s="50"/>
    </row>
    <row r="75" spans="1:7" ht="22.5">
      <c r="A75" s="35"/>
      <c r="B75" s="52"/>
      <c r="C75" s="51"/>
      <c r="D75" s="52"/>
      <c r="E75" s="52"/>
      <c r="F75" s="50"/>
    </row>
    <row r="76" spans="1:7" ht="22.5">
      <c r="A76" s="35"/>
      <c r="B76" s="52"/>
      <c r="C76" s="51"/>
      <c r="D76" s="52"/>
      <c r="E76" s="52"/>
      <c r="F76" s="50"/>
    </row>
    <row r="77" spans="1:7" ht="22.5">
      <c r="A77" s="35"/>
      <c r="B77" s="52"/>
      <c r="C77" s="51"/>
      <c r="D77" s="52"/>
      <c r="E77" s="52"/>
      <c r="F77" s="50"/>
    </row>
    <row r="78" spans="1:7" ht="22.5">
      <c r="A78" s="35"/>
      <c r="B78" s="52"/>
      <c r="C78" s="51"/>
      <c r="D78" s="52"/>
      <c r="E78" s="52"/>
      <c r="F78" s="50"/>
    </row>
    <row r="79" spans="1:7" ht="22.5">
      <c r="A79" s="35"/>
      <c r="B79" s="52"/>
      <c r="C79" s="51"/>
      <c r="D79" s="52"/>
      <c r="E79" s="52"/>
      <c r="F79" s="50"/>
    </row>
    <row r="80" spans="1:7" ht="22.5">
      <c r="A80" s="35"/>
      <c r="B80" s="52"/>
      <c r="C80" s="51"/>
      <c r="D80" s="52"/>
      <c r="E80" s="52"/>
      <c r="F80" s="50"/>
    </row>
    <row r="81" spans="1:6" ht="23.25" thickBot="1">
      <c r="A81" s="55"/>
      <c r="B81" s="56"/>
      <c r="C81" s="57">
        <f>+C72</f>
        <v>208987</v>
      </c>
      <c r="D81" s="58" t="str">
        <f>+D72</f>
        <v xml:space="preserve"> -</v>
      </c>
      <c r="E81" s="59">
        <f>+E73</f>
        <v>208987</v>
      </c>
      <c r="F81" s="60" t="str">
        <f>+F73</f>
        <v xml:space="preserve"> -</v>
      </c>
    </row>
    <row r="82" spans="1:6" ht="23.25" thickTop="1">
      <c r="A82" s="22"/>
      <c r="B82" s="22"/>
      <c r="C82" s="22"/>
      <c r="D82" s="22"/>
      <c r="E82" s="22"/>
      <c r="F82" s="22"/>
    </row>
    <row r="83" spans="1:6" ht="22.5">
      <c r="A83" s="22" t="s">
        <v>130</v>
      </c>
      <c r="B83" s="22"/>
      <c r="C83" s="22"/>
      <c r="D83" s="22"/>
      <c r="E83" s="22"/>
      <c r="F83" s="22"/>
    </row>
    <row r="84" spans="1:6" ht="22.5">
      <c r="A84" s="22"/>
      <c r="B84" s="22"/>
      <c r="C84" s="22"/>
      <c r="D84" s="22"/>
      <c r="E84" s="22"/>
      <c r="F84" s="22"/>
    </row>
    <row r="85" spans="1:6" ht="22.5">
      <c r="A85" s="22"/>
      <c r="B85" s="22"/>
      <c r="C85" s="22"/>
      <c r="D85" s="22"/>
      <c r="E85" s="22"/>
      <c r="F85" s="22"/>
    </row>
    <row r="86" spans="1:6" ht="22.5">
      <c r="A86" s="22"/>
      <c r="B86" s="22"/>
      <c r="C86" s="22"/>
      <c r="D86" s="22"/>
      <c r="E86" s="22"/>
      <c r="F86" s="22"/>
    </row>
    <row r="87" spans="1:6" ht="22.5">
      <c r="A87" s="22"/>
      <c r="B87" s="22"/>
      <c r="C87" s="22"/>
      <c r="D87" s="22"/>
      <c r="E87" s="22"/>
      <c r="F87" s="22"/>
    </row>
    <row r="88" spans="1:6" ht="22.5">
      <c r="A88" s="22"/>
      <c r="B88" s="22"/>
      <c r="C88" s="22"/>
      <c r="D88" s="22"/>
      <c r="E88" s="22"/>
      <c r="F88" s="22"/>
    </row>
    <row r="89" spans="1:6" ht="22.5">
      <c r="A89" s="22"/>
      <c r="B89" s="22"/>
      <c r="C89" s="22"/>
      <c r="D89" s="22"/>
      <c r="E89" s="22"/>
      <c r="F89" s="22"/>
    </row>
    <row r="90" spans="1:6" ht="22.5">
      <c r="A90" s="22"/>
      <c r="B90" s="22"/>
      <c r="C90" s="22"/>
      <c r="D90" s="22"/>
      <c r="E90" s="22"/>
      <c r="F90" s="22"/>
    </row>
    <row r="91" spans="1:6" ht="22.5">
      <c r="A91" s="61" t="s">
        <v>108</v>
      </c>
      <c r="B91" s="320" t="s">
        <v>109</v>
      </c>
      <c r="C91" s="321"/>
      <c r="D91" s="320" t="s">
        <v>110</v>
      </c>
      <c r="E91" s="322"/>
      <c r="F91" s="321"/>
    </row>
    <row r="92" spans="1:6" ht="22.5">
      <c r="A92" s="64"/>
      <c r="B92" s="64"/>
      <c r="C92" s="54"/>
      <c r="D92" s="63"/>
      <c r="E92" s="63"/>
      <c r="F92" s="54"/>
    </row>
    <row r="93" spans="1:6" ht="22.5">
      <c r="A93" s="64"/>
      <c r="B93" s="64"/>
      <c r="C93" s="54"/>
      <c r="D93" s="63"/>
      <c r="E93" s="63"/>
      <c r="F93" s="54"/>
    </row>
    <row r="94" spans="1:6" ht="22.5">
      <c r="A94" s="64"/>
      <c r="B94" s="64"/>
      <c r="C94" s="54"/>
      <c r="D94" s="63"/>
      <c r="E94" s="63"/>
      <c r="F94" s="54"/>
    </row>
    <row r="95" spans="1:6" ht="22.5">
      <c r="A95" s="64" t="s">
        <v>111</v>
      </c>
      <c r="B95" s="312" t="s">
        <v>112</v>
      </c>
      <c r="C95" s="313"/>
      <c r="D95" s="312" t="s">
        <v>113</v>
      </c>
      <c r="E95" s="314"/>
      <c r="F95" s="313"/>
    </row>
    <row r="96" spans="1:6" ht="22.5">
      <c r="A96" s="65" t="s">
        <v>114</v>
      </c>
      <c r="B96" s="315" t="s">
        <v>115</v>
      </c>
      <c r="C96" s="316"/>
      <c r="D96" s="315" t="s">
        <v>114</v>
      </c>
      <c r="E96" s="317"/>
      <c r="F96" s="316"/>
    </row>
    <row r="97" spans="1:7" ht="22.5">
      <c r="A97" s="22"/>
      <c r="B97" s="22"/>
      <c r="C97" s="22"/>
      <c r="D97" s="318" t="s">
        <v>104</v>
      </c>
      <c r="E97" s="318"/>
      <c r="F97" s="318"/>
      <c r="G97">
        <v>4</v>
      </c>
    </row>
    <row r="98" spans="1:7" ht="22.5">
      <c r="A98" s="22"/>
      <c r="B98" s="22"/>
      <c r="C98" s="22"/>
      <c r="D98" s="318" t="s">
        <v>131</v>
      </c>
      <c r="E98" s="318"/>
      <c r="F98" s="318"/>
    </row>
    <row r="99" spans="1:7" ht="22.5">
      <c r="A99" s="22"/>
      <c r="B99" s="22"/>
      <c r="C99" s="22"/>
      <c r="D99" s="22"/>
      <c r="E99" s="22"/>
      <c r="F99" s="22"/>
    </row>
    <row r="100" spans="1:7" ht="26.25">
      <c r="A100" s="319" t="s">
        <v>105</v>
      </c>
      <c r="B100" s="314"/>
      <c r="C100" s="314"/>
      <c r="D100" s="314"/>
      <c r="E100" s="314"/>
      <c r="F100" s="314"/>
    </row>
    <row r="101" spans="1:7" ht="22.5">
      <c r="A101" s="22"/>
      <c r="B101" s="22"/>
      <c r="C101" s="22"/>
      <c r="D101" s="22"/>
      <c r="E101" s="22"/>
      <c r="F101" s="22"/>
    </row>
    <row r="102" spans="1:7" ht="22.5">
      <c r="A102" s="22" t="s">
        <v>106</v>
      </c>
      <c r="B102" s="22"/>
      <c r="C102" s="22"/>
      <c r="D102" s="22"/>
      <c r="E102" s="22"/>
      <c r="F102" s="22"/>
    </row>
    <row r="103" spans="1:7" ht="22.5">
      <c r="A103" s="45" t="s">
        <v>2</v>
      </c>
      <c r="B103" s="25" t="s">
        <v>107</v>
      </c>
      <c r="C103" s="309" t="s">
        <v>10</v>
      </c>
      <c r="D103" s="307"/>
      <c r="E103" s="309" t="s">
        <v>96</v>
      </c>
      <c r="F103" s="307"/>
    </row>
    <row r="104" spans="1:7" ht="22.5">
      <c r="A104" s="35" t="s">
        <v>58</v>
      </c>
      <c r="B104" s="46">
        <v>532000</v>
      </c>
      <c r="C104" s="47">
        <v>6960</v>
      </c>
      <c r="D104" s="48" t="s">
        <v>127</v>
      </c>
      <c r="E104" s="49"/>
      <c r="F104" s="50"/>
    </row>
    <row r="105" spans="1:7" ht="22.5">
      <c r="A105" s="35" t="s">
        <v>132</v>
      </c>
      <c r="B105" s="46">
        <v>110605</v>
      </c>
      <c r="C105" s="51"/>
      <c r="D105" s="52"/>
      <c r="E105" s="53">
        <f>+C104</f>
        <v>6960</v>
      </c>
      <c r="F105" s="54" t="str">
        <f>+D104</f>
        <v xml:space="preserve"> -</v>
      </c>
    </row>
    <row r="106" spans="1:7" ht="22.5">
      <c r="A106" s="35"/>
      <c r="B106" s="52"/>
      <c r="C106" s="51"/>
      <c r="D106" s="52"/>
      <c r="E106" s="52"/>
      <c r="F106" s="50"/>
    </row>
    <row r="107" spans="1:7" ht="22.5">
      <c r="A107" s="35"/>
      <c r="B107" s="52"/>
      <c r="C107" s="51"/>
      <c r="D107" s="52"/>
      <c r="E107" s="52"/>
      <c r="F107" s="50"/>
    </row>
    <row r="108" spans="1:7" ht="22.5">
      <c r="A108" s="35"/>
      <c r="B108" s="52"/>
      <c r="C108" s="51"/>
      <c r="D108" s="52"/>
      <c r="E108" s="52"/>
      <c r="F108" s="50"/>
    </row>
    <row r="109" spans="1:7" ht="22.5">
      <c r="A109" s="35"/>
      <c r="B109" s="52"/>
      <c r="C109" s="51"/>
      <c r="D109" s="52"/>
      <c r="E109" s="52"/>
      <c r="F109" s="50"/>
    </row>
    <row r="110" spans="1:7" ht="22.5">
      <c r="A110" s="35"/>
      <c r="B110" s="52"/>
      <c r="C110" s="51"/>
      <c r="D110" s="52"/>
      <c r="E110" s="52"/>
      <c r="F110" s="50"/>
    </row>
    <row r="111" spans="1:7" ht="22.5">
      <c r="A111" s="35"/>
      <c r="B111" s="52"/>
      <c r="C111" s="51"/>
      <c r="D111" s="52"/>
      <c r="E111" s="52"/>
      <c r="F111" s="50"/>
    </row>
    <row r="112" spans="1:7" ht="22.5">
      <c r="A112" s="35"/>
      <c r="B112" s="52"/>
      <c r="C112" s="51"/>
      <c r="D112" s="52"/>
      <c r="E112" s="52"/>
      <c r="F112" s="50"/>
    </row>
    <row r="113" spans="1:6" ht="23.25" thickBot="1">
      <c r="A113" s="55"/>
      <c r="B113" s="56"/>
      <c r="C113" s="57">
        <f>+C104</f>
        <v>6960</v>
      </c>
      <c r="D113" s="58" t="str">
        <f>+D104</f>
        <v xml:space="preserve"> -</v>
      </c>
      <c r="E113" s="59">
        <f>+E105</f>
        <v>6960</v>
      </c>
      <c r="F113" s="60" t="str">
        <f>+F105</f>
        <v xml:space="preserve"> -</v>
      </c>
    </row>
    <row r="114" spans="1:6" ht="23.25" thickTop="1">
      <c r="A114" s="22"/>
      <c r="B114" s="22"/>
      <c r="C114" s="22"/>
      <c r="D114" s="22"/>
      <c r="E114" s="22"/>
      <c r="F114" s="22"/>
    </row>
    <row r="115" spans="1:6" ht="22.5">
      <c r="A115" s="22" t="s">
        <v>133</v>
      </c>
      <c r="B115" s="22"/>
      <c r="C115" s="22"/>
      <c r="D115" s="22"/>
      <c r="E115" s="22"/>
      <c r="F115" s="22"/>
    </row>
    <row r="116" spans="1:6" ht="22.5">
      <c r="A116" s="22"/>
      <c r="B116" s="22"/>
      <c r="C116" s="22"/>
      <c r="D116" s="22"/>
      <c r="E116" s="22"/>
      <c r="F116" s="22"/>
    </row>
    <row r="117" spans="1:6" ht="22.5">
      <c r="A117" s="22"/>
      <c r="B117" s="22"/>
      <c r="C117" s="22"/>
      <c r="D117" s="22"/>
      <c r="E117" s="22"/>
      <c r="F117" s="22"/>
    </row>
    <row r="118" spans="1:6" ht="22.5">
      <c r="A118" s="22"/>
      <c r="B118" s="22"/>
      <c r="C118" s="22"/>
      <c r="D118" s="22"/>
      <c r="E118" s="22"/>
      <c r="F118" s="22"/>
    </row>
    <row r="119" spans="1:6" ht="22.5">
      <c r="A119" s="22"/>
      <c r="B119" s="22"/>
      <c r="C119" s="22"/>
      <c r="D119" s="22"/>
      <c r="E119" s="22"/>
      <c r="F119" s="22"/>
    </row>
    <row r="120" spans="1:6" ht="22.5">
      <c r="A120" s="22"/>
      <c r="B120" s="22"/>
      <c r="C120" s="22"/>
      <c r="D120" s="22"/>
      <c r="E120" s="22"/>
      <c r="F120" s="22"/>
    </row>
    <row r="121" spans="1:6" ht="22.5">
      <c r="A121" s="22"/>
      <c r="B121" s="22"/>
      <c r="C121" s="22"/>
      <c r="D121" s="22"/>
      <c r="E121" s="22"/>
      <c r="F121" s="22"/>
    </row>
    <row r="122" spans="1:6" ht="22.5">
      <c r="A122" s="22"/>
      <c r="B122" s="22"/>
      <c r="C122" s="22"/>
      <c r="D122" s="22"/>
      <c r="E122" s="22"/>
      <c r="F122" s="22"/>
    </row>
    <row r="123" spans="1:6" ht="22.5">
      <c r="A123" s="61" t="s">
        <v>108</v>
      </c>
      <c r="B123" s="320" t="s">
        <v>109</v>
      </c>
      <c r="C123" s="321"/>
      <c r="D123" s="320" t="s">
        <v>110</v>
      </c>
      <c r="E123" s="322"/>
      <c r="F123" s="321"/>
    </row>
    <row r="124" spans="1:6" ht="22.5">
      <c r="A124" s="64"/>
      <c r="B124" s="64"/>
      <c r="C124" s="54"/>
      <c r="D124" s="63"/>
      <c r="E124" s="63"/>
      <c r="F124" s="54"/>
    </row>
    <row r="125" spans="1:6" ht="22.5">
      <c r="A125" s="64"/>
      <c r="B125" s="64"/>
      <c r="C125" s="54"/>
      <c r="D125" s="63"/>
      <c r="E125" s="63"/>
      <c r="F125" s="54"/>
    </row>
    <row r="126" spans="1:6" ht="22.5">
      <c r="A126" s="64"/>
      <c r="B126" s="64"/>
      <c r="C126" s="54"/>
      <c r="D126" s="63"/>
      <c r="E126" s="63"/>
      <c r="F126" s="54"/>
    </row>
    <row r="127" spans="1:6" ht="22.5">
      <c r="A127" s="64" t="s">
        <v>111</v>
      </c>
      <c r="B127" s="312" t="s">
        <v>112</v>
      </c>
      <c r="C127" s="313"/>
      <c r="D127" s="312" t="s">
        <v>113</v>
      </c>
      <c r="E127" s="314"/>
      <c r="F127" s="313"/>
    </row>
    <row r="128" spans="1:6" ht="22.5">
      <c r="A128" s="65" t="s">
        <v>114</v>
      </c>
      <c r="B128" s="315" t="s">
        <v>115</v>
      </c>
      <c r="C128" s="316"/>
      <c r="D128" s="315" t="s">
        <v>114</v>
      </c>
      <c r="E128" s="317"/>
      <c r="F128" s="316"/>
    </row>
    <row r="129" spans="1:7" ht="22.5">
      <c r="A129" s="22"/>
      <c r="B129" s="22"/>
      <c r="C129" s="22"/>
      <c r="D129" s="318" t="s">
        <v>104</v>
      </c>
      <c r="E129" s="318"/>
      <c r="F129" s="318"/>
      <c r="G129">
        <v>5</v>
      </c>
    </row>
    <row r="130" spans="1:7" ht="22.5">
      <c r="A130" s="22"/>
      <c r="B130" s="22"/>
      <c r="C130" s="22"/>
      <c r="D130" s="318" t="s">
        <v>134</v>
      </c>
      <c r="E130" s="318"/>
      <c r="F130" s="318"/>
    </row>
    <row r="131" spans="1:7" ht="22.5">
      <c r="A131" s="22"/>
      <c r="B131" s="22"/>
      <c r="C131" s="22"/>
      <c r="D131" s="22"/>
      <c r="E131" s="22"/>
      <c r="F131" s="22"/>
    </row>
    <row r="132" spans="1:7" ht="26.25">
      <c r="A132" s="319" t="s">
        <v>105</v>
      </c>
      <c r="B132" s="314"/>
      <c r="C132" s="314"/>
      <c r="D132" s="314"/>
      <c r="E132" s="314"/>
      <c r="F132" s="314"/>
    </row>
    <row r="133" spans="1:7" ht="22.5">
      <c r="A133" s="22"/>
      <c r="B133" s="22"/>
      <c r="C133" s="22"/>
      <c r="D133" s="22"/>
      <c r="E133" s="22"/>
      <c r="F133" s="22"/>
    </row>
    <row r="134" spans="1:7" ht="22.5">
      <c r="A134" s="22" t="s">
        <v>106</v>
      </c>
      <c r="B134" s="22"/>
      <c r="C134" s="22"/>
      <c r="D134" s="22"/>
      <c r="E134" s="22"/>
      <c r="F134" s="22"/>
    </row>
    <row r="135" spans="1:7" ht="22.5">
      <c r="A135" s="45" t="s">
        <v>2</v>
      </c>
      <c r="B135" s="25" t="s">
        <v>107</v>
      </c>
      <c r="C135" s="309" t="s">
        <v>10</v>
      </c>
      <c r="D135" s="307"/>
      <c r="E135" s="309" t="s">
        <v>96</v>
      </c>
      <c r="F135" s="307"/>
    </row>
    <row r="136" spans="1:7" ht="22.5">
      <c r="A136" s="35" t="s">
        <v>58</v>
      </c>
      <c r="B136" s="46">
        <v>532000</v>
      </c>
      <c r="C136" s="47">
        <v>6000</v>
      </c>
      <c r="D136" s="48" t="s">
        <v>127</v>
      </c>
      <c r="E136" s="49"/>
      <c r="F136" s="50"/>
    </row>
    <row r="137" spans="1:7" ht="22.5">
      <c r="A137" s="35" t="s">
        <v>132</v>
      </c>
      <c r="B137" s="46">
        <v>110605</v>
      </c>
      <c r="C137" s="51"/>
      <c r="D137" s="52"/>
      <c r="E137" s="53">
        <f>+C136</f>
        <v>6000</v>
      </c>
      <c r="F137" s="54" t="str">
        <f>+D136</f>
        <v xml:space="preserve"> -</v>
      </c>
    </row>
    <row r="138" spans="1:7" ht="22.5">
      <c r="A138" s="35"/>
      <c r="B138" s="52"/>
      <c r="C138" s="51"/>
      <c r="D138" s="52"/>
      <c r="E138" s="52"/>
      <c r="F138" s="50"/>
    </row>
    <row r="139" spans="1:7" ht="22.5">
      <c r="A139" s="35"/>
      <c r="B139" s="52"/>
      <c r="C139" s="51"/>
      <c r="D139" s="52"/>
      <c r="E139" s="52"/>
      <c r="F139" s="50"/>
    </row>
    <row r="140" spans="1:7" ht="22.5">
      <c r="A140" s="35"/>
      <c r="B140" s="52"/>
      <c r="C140" s="51"/>
      <c r="D140" s="52"/>
      <c r="E140" s="52"/>
      <c r="F140" s="50"/>
    </row>
    <row r="141" spans="1:7" ht="22.5">
      <c r="A141" s="35"/>
      <c r="B141" s="52"/>
      <c r="C141" s="51"/>
      <c r="D141" s="52"/>
      <c r="E141" s="52"/>
      <c r="F141" s="50"/>
    </row>
    <row r="142" spans="1:7" ht="22.5">
      <c r="A142" s="35"/>
      <c r="B142" s="52"/>
      <c r="C142" s="51"/>
      <c r="D142" s="52"/>
      <c r="E142" s="52"/>
      <c r="F142" s="50"/>
    </row>
    <row r="143" spans="1:7" ht="22.5">
      <c r="A143" s="35"/>
      <c r="B143" s="52"/>
      <c r="C143" s="51"/>
      <c r="D143" s="52"/>
      <c r="E143" s="52"/>
      <c r="F143" s="50"/>
    </row>
    <row r="144" spans="1:7" ht="22.5">
      <c r="A144" s="35"/>
      <c r="B144" s="52"/>
      <c r="C144" s="51"/>
      <c r="D144" s="52"/>
      <c r="E144" s="52"/>
      <c r="F144" s="50"/>
    </row>
    <row r="145" spans="1:6" ht="23.25" thickBot="1">
      <c r="A145" s="55"/>
      <c r="B145" s="56"/>
      <c r="C145" s="57">
        <f>+C136</f>
        <v>6000</v>
      </c>
      <c r="D145" s="58" t="str">
        <f>+D136</f>
        <v xml:space="preserve"> -</v>
      </c>
      <c r="E145" s="59">
        <f>+E137</f>
        <v>6000</v>
      </c>
      <c r="F145" s="60" t="str">
        <f>+F137</f>
        <v xml:space="preserve"> -</v>
      </c>
    </row>
    <row r="146" spans="1:6" ht="23.25" thickTop="1">
      <c r="A146" s="22"/>
      <c r="B146" s="22"/>
      <c r="C146" s="22"/>
      <c r="D146" s="22"/>
      <c r="E146" s="22"/>
      <c r="F146" s="22"/>
    </row>
    <row r="147" spans="1:6" ht="22.5">
      <c r="A147" s="22" t="s">
        <v>135</v>
      </c>
      <c r="B147" s="22"/>
      <c r="C147" s="22"/>
      <c r="D147" s="22"/>
      <c r="E147" s="22"/>
      <c r="F147" s="22"/>
    </row>
    <row r="148" spans="1:6" ht="22.5">
      <c r="A148" s="22"/>
      <c r="B148" s="22"/>
      <c r="C148" s="22"/>
      <c r="D148" s="22"/>
      <c r="E148" s="22"/>
      <c r="F148" s="22"/>
    </row>
    <row r="149" spans="1:6" ht="22.5">
      <c r="A149" s="22"/>
      <c r="B149" s="22"/>
      <c r="C149" s="22"/>
      <c r="D149" s="22"/>
      <c r="E149" s="22"/>
      <c r="F149" s="22"/>
    </row>
    <row r="150" spans="1:6" ht="22.5">
      <c r="A150" s="22"/>
      <c r="B150" s="22"/>
      <c r="C150" s="22"/>
      <c r="D150" s="22"/>
      <c r="E150" s="22"/>
      <c r="F150" s="22"/>
    </row>
    <row r="151" spans="1:6" ht="22.5">
      <c r="A151" s="22"/>
      <c r="B151" s="22"/>
      <c r="C151" s="22"/>
      <c r="D151" s="22"/>
      <c r="E151" s="22"/>
      <c r="F151" s="22"/>
    </row>
    <row r="152" spans="1:6" ht="22.5">
      <c r="A152" s="22"/>
      <c r="B152" s="22"/>
      <c r="C152" s="22"/>
      <c r="D152" s="22"/>
      <c r="E152" s="22"/>
      <c r="F152" s="22"/>
    </row>
    <row r="153" spans="1:6" ht="22.5">
      <c r="A153" s="22"/>
      <c r="B153" s="22"/>
      <c r="C153" s="22"/>
      <c r="D153" s="22"/>
      <c r="E153" s="22"/>
      <c r="F153" s="22"/>
    </row>
    <row r="154" spans="1:6" ht="22.5">
      <c r="A154" s="22"/>
      <c r="B154" s="22"/>
      <c r="C154" s="22"/>
      <c r="D154" s="22"/>
      <c r="E154" s="22"/>
      <c r="F154" s="22"/>
    </row>
    <row r="155" spans="1:6" ht="22.5">
      <c r="A155" s="61" t="s">
        <v>108</v>
      </c>
      <c r="B155" s="320" t="s">
        <v>109</v>
      </c>
      <c r="C155" s="321"/>
      <c r="D155" s="320" t="s">
        <v>110</v>
      </c>
      <c r="E155" s="322"/>
      <c r="F155" s="321"/>
    </row>
    <row r="156" spans="1:6" ht="22.5">
      <c r="A156" s="64"/>
      <c r="B156" s="64"/>
      <c r="C156" s="54"/>
      <c r="D156" s="63"/>
      <c r="E156" s="63"/>
      <c r="F156" s="54"/>
    </row>
    <row r="157" spans="1:6" ht="22.5">
      <c r="A157" s="64"/>
      <c r="B157" s="64"/>
      <c r="C157" s="54"/>
      <c r="D157" s="63"/>
      <c r="E157" s="63"/>
      <c r="F157" s="54"/>
    </row>
    <row r="158" spans="1:6" ht="22.5">
      <c r="A158" s="64"/>
      <c r="B158" s="64"/>
      <c r="C158" s="54"/>
      <c r="D158" s="63"/>
      <c r="E158" s="63"/>
      <c r="F158" s="54"/>
    </row>
    <row r="159" spans="1:6" ht="22.5">
      <c r="A159" s="64" t="s">
        <v>111</v>
      </c>
      <c r="B159" s="312" t="s">
        <v>112</v>
      </c>
      <c r="C159" s="313"/>
      <c r="D159" s="312" t="s">
        <v>113</v>
      </c>
      <c r="E159" s="314"/>
      <c r="F159" s="313"/>
    </row>
    <row r="160" spans="1:6" ht="22.5">
      <c r="A160" s="65" t="s">
        <v>114</v>
      </c>
      <c r="B160" s="315" t="s">
        <v>115</v>
      </c>
      <c r="C160" s="316"/>
      <c r="D160" s="315" t="s">
        <v>114</v>
      </c>
      <c r="E160" s="317"/>
      <c r="F160" s="316"/>
    </row>
    <row r="161" spans="1:7" ht="22.5">
      <c r="A161" s="22"/>
      <c r="B161" s="22"/>
      <c r="C161" s="22"/>
      <c r="D161" s="318" t="s">
        <v>104</v>
      </c>
      <c r="E161" s="318"/>
      <c r="F161" s="318"/>
      <c r="G161">
        <v>6</v>
      </c>
    </row>
    <row r="162" spans="1:7" ht="22.5">
      <c r="A162" s="22"/>
      <c r="B162" s="22"/>
      <c r="C162" s="22"/>
      <c r="D162" s="318" t="s">
        <v>134</v>
      </c>
      <c r="E162" s="318"/>
      <c r="F162" s="318"/>
    </row>
    <row r="163" spans="1:7" ht="22.5">
      <c r="A163" s="22"/>
      <c r="B163" s="22"/>
      <c r="C163" s="22"/>
      <c r="D163" s="22"/>
      <c r="E163" s="22"/>
      <c r="F163" s="22"/>
    </row>
    <row r="164" spans="1:7" ht="26.25">
      <c r="A164" s="319" t="s">
        <v>105</v>
      </c>
      <c r="B164" s="314"/>
      <c r="C164" s="314"/>
      <c r="D164" s="314"/>
      <c r="E164" s="314"/>
      <c r="F164" s="314"/>
    </row>
    <row r="165" spans="1:7" ht="22.5">
      <c r="A165" s="22"/>
      <c r="B165" s="22"/>
      <c r="C165" s="22"/>
      <c r="D165" s="22"/>
      <c r="E165" s="22"/>
      <c r="F165" s="22"/>
    </row>
    <row r="166" spans="1:7" ht="22.5">
      <c r="A166" s="22" t="s">
        <v>106</v>
      </c>
      <c r="B166" s="22"/>
      <c r="C166" s="22"/>
      <c r="D166" s="22"/>
      <c r="E166" s="22"/>
      <c r="F166" s="22"/>
    </row>
    <row r="167" spans="1:7" ht="22.5">
      <c r="A167" s="45" t="s">
        <v>2</v>
      </c>
      <c r="B167" s="25" t="s">
        <v>107</v>
      </c>
      <c r="C167" s="309" t="s">
        <v>10</v>
      </c>
      <c r="D167" s="307"/>
      <c r="E167" s="309" t="s">
        <v>96</v>
      </c>
      <c r="F167" s="307"/>
    </row>
    <row r="168" spans="1:7" ht="22.5">
      <c r="A168" s="35" t="s">
        <v>58</v>
      </c>
      <c r="B168" s="46">
        <v>532000</v>
      </c>
      <c r="C168" s="47">
        <v>6000</v>
      </c>
      <c r="D168" s="48" t="s">
        <v>127</v>
      </c>
      <c r="E168" s="49"/>
      <c r="F168" s="50"/>
    </row>
    <row r="169" spans="1:7" ht="22.5">
      <c r="A169" s="35" t="s">
        <v>132</v>
      </c>
      <c r="B169" s="46">
        <v>110605</v>
      </c>
      <c r="C169" s="51"/>
      <c r="D169" s="52"/>
      <c r="E169" s="53">
        <f>+C168</f>
        <v>6000</v>
      </c>
      <c r="F169" s="54" t="str">
        <f>+D168</f>
        <v xml:space="preserve"> -</v>
      </c>
    </row>
    <row r="170" spans="1:7" ht="22.5">
      <c r="A170" s="35"/>
      <c r="B170" s="52"/>
      <c r="C170" s="51"/>
      <c r="D170" s="52"/>
      <c r="E170" s="52"/>
      <c r="F170" s="50"/>
    </row>
    <row r="171" spans="1:7" ht="22.5">
      <c r="A171" s="35"/>
      <c r="B171" s="52"/>
      <c r="C171" s="51"/>
      <c r="D171" s="52"/>
      <c r="E171" s="52"/>
      <c r="F171" s="50"/>
    </row>
    <row r="172" spans="1:7" ht="22.5">
      <c r="A172" s="35"/>
      <c r="B172" s="52"/>
      <c r="C172" s="51"/>
      <c r="D172" s="52"/>
      <c r="E172" s="52"/>
      <c r="F172" s="50"/>
    </row>
    <row r="173" spans="1:7" ht="22.5">
      <c r="A173" s="35"/>
      <c r="B173" s="52"/>
      <c r="C173" s="51"/>
      <c r="D173" s="52"/>
      <c r="E173" s="52"/>
      <c r="F173" s="50"/>
    </row>
    <row r="174" spans="1:7" ht="22.5">
      <c r="A174" s="35"/>
      <c r="B174" s="52"/>
      <c r="C174" s="51"/>
      <c r="D174" s="52"/>
      <c r="E174" s="52"/>
      <c r="F174" s="50"/>
    </row>
    <row r="175" spans="1:7" ht="22.5">
      <c r="A175" s="35"/>
      <c r="B175" s="52"/>
      <c r="C175" s="51"/>
      <c r="D175" s="52"/>
      <c r="E175" s="52"/>
      <c r="F175" s="50"/>
    </row>
    <row r="176" spans="1:7" ht="22.5">
      <c r="A176" s="35"/>
      <c r="B176" s="52"/>
      <c r="C176" s="51"/>
      <c r="D176" s="52"/>
      <c r="E176" s="52"/>
      <c r="F176" s="50"/>
    </row>
    <row r="177" spans="1:6" ht="23.25" thickBot="1">
      <c r="A177" s="55"/>
      <c r="B177" s="56"/>
      <c r="C177" s="57">
        <f>+C168</f>
        <v>6000</v>
      </c>
      <c r="D177" s="58" t="str">
        <f>+D168</f>
        <v xml:space="preserve"> -</v>
      </c>
      <c r="E177" s="59">
        <f>+E169</f>
        <v>6000</v>
      </c>
      <c r="F177" s="60" t="str">
        <f>+F169</f>
        <v xml:space="preserve"> -</v>
      </c>
    </row>
    <row r="178" spans="1:6" ht="23.25" thickTop="1">
      <c r="A178" s="22"/>
      <c r="B178" s="22"/>
      <c r="C178" s="22"/>
      <c r="D178" s="22"/>
      <c r="E178" s="22"/>
      <c r="F178" s="22"/>
    </row>
    <row r="179" spans="1:6" ht="22.5">
      <c r="A179" s="22" t="s">
        <v>136</v>
      </c>
      <c r="B179" s="22"/>
      <c r="C179" s="22"/>
      <c r="D179" s="22"/>
      <c r="E179" s="22"/>
      <c r="F179" s="22"/>
    </row>
    <row r="180" spans="1:6" ht="22.5">
      <c r="A180" s="22"/>
      <c r="B180" s="22"/>
      <c r="C180" s="22"/>
      <c r="D180" s="22"/>
      <c r="E180" s="22"/>
      <c r="F180" s="22"/>
    </row>
    <row r="181" spans="1:6" ht="22.5">
      <c r="A181" s="22"/>
      <c r="B181" s="22"/>
      <c r="C181" s="22"/>
      <c r="D181" s="22"/>
      <c r="E181" s="22"/>
      <c r="F181" s="22"/>
    </row>
    <row r="182" spans="1:6" ht="22.5">
      <c r="A182" s="22"/>
      <c r="B182" s="22"/>
      <c r="C182" s="22"/>
      <c r="D182" s="22"/>
      <c r="E182" s="22"/>
      <c r="F182" s="22"/>
    </row>
    <row r="183" spans="1:6" ht="22.5">
      <c r="A183" s="22"/>
      <c r="B183" s="22"/>
      <c r="C183" s="22"/>
      <c r="D183" s="22"/>
      <c r="E183" s="22"/>
      <c r="F183" s="22"/>
    </row>
    <row r="184" spans="1:6" ht="22.5">
      <c r="A184" s="22"/>
      <c r="B184" s="22"/>
      <c r="C184" s="22"/>
      <c r="D184" s="22"/>
      <c r="E184" s="22"/>
      <c r="F184" s="22"/>
    </row>
    <row r="185" spans="1:6" ht="22.5">
      <c r="A185" s="22"/>
      <c r="B185" s="22"/>
      <c r="C185" s="22"/>
      <c r="D185" s="22"/>
      <c r="E185" s="22"/>
      <c r="F185" s="22"/>
    </row>
    <row r="186" spans="1:6" ht="22.5">
      <c r="A186" s="22"/>
      <c r="B186" s="22"/>
      <c r="C186" s="22"/>
      <c r="D186" s="22"/>
      <c r="E186" s="22"/>
      <c r="F186" s="22"/>
    </row>
    <row r="187" spans="1:6" ht="22.5">
      <c r="A187" s="61" t="s">
        <v>108</v>
      </c>
      <c r="B187" s="320" t="s">
        <v>109</v>
      </c>
      <c r="C187" s="321"/>
      <c r="D187" s="320" t="s">
        <v>110</v>
      </c>
      <c r="E187" s="322"/>
      <c r="F187" s="321"/>
    </row>
    <row r="188" spans="1:6" ht="22.5">
      <c r="A188" s="64"/>
      <c r="B188" s="64"/>
      <c r="C188" s="54"/>
      <c r="D188" s="63"/>
      <c r="E188" s="63"/>
      <c r="F188" s="54"/>
    </row>
    <row r="189" spans="1:6" ht="22.5">
      <c r="A189" s="64"/>
      <c r="B189" s="64"/>
      <c r="C189" s="54"/>
      <c r="D189" s="63"/>
      <c r="E189" s="63"/>
      <c r="F189" s="54"/>
    </row>
    <row r="190" spans="1:6" ht="22.5">
      <c r="A190" s="64"/>
      <c r="B190" s="64"/>
      <c r="C190" s="54"/>
      <c r="D190" s="63"/>
      <c r="E190" s="63"/>
      <c r="F190" s="54"/>
    </row>
    <row r="191" spans="1:6" ht="22.5">
      <c r="A191" s="64" t="s">
        <v>111</v>
      </c>
      <c r="B191" s="312" t="s">
        <v>112</v>
      </c>
      <c r="C191" s="313"/>
      <c r="D191" s="312" t="s">
        <v>113</v>
      </c>
      <c r="E191" s="314"/>
      <c r="F191" s="313"/>
    </row>
    <row r="192" spans="1:6" ht="22.5">
      <c r="A192" s="65" t="s">
        <v>114</v>
      </c>
      <c r="B192" s="315" t="s">
        <v>115</v>
      </c>
      <c r="C192" s="316"/>
      <c r="D192" s="315" t="s">
        <v>114</v>
      </c>
      <c r="E192" s="317"/>
      <c r="F192" s="316"/>
    </row>
    <row r="193" spans="1:7" ht="22.5">
      <c r="A193" s="22"/>
      <c r="B193" s="22"/>
      <c r="C193" s="22"/>
      <c r="D193" s="318" t="s">
        <v>104</v>
      </c>
      <c r="E193" s="318"/>
      <c r="F193" s="318"/>
      <c r="G193">
        <v>7</v>
      </c>
    </row>
    <row r="194" spans="1:7" ht="22.5">
      <c r="A194" s="22"/>
      <c r="B194" s="22"/>
      <c r="C194" s="22"/>
      <c r="D194" s="318" t="s">
        <v>137</v>
      </c>
      <c r="E194" s="318"/>
      <c r="F194" s="318"/>
    </row>
    <row r="195" spans="1:7" ht="22.5">
      <c r="A195" s="22"/>
      <c r="B195" s="22"/>
      <c r="C195" s="22"/>
      <c r="D195" s="22"/>
      <c r="E195" s="22"/>
      <c r="F195" s="22"/>
    </row>
    <row r="196" spans="1:7" ht="26.25">
      <c r="A196" s="319" t="s">
        <v>105</v>
      </c>
      <c r="B196" s="314"/>
      <c r="C196" s="314"/>
      <c r="D196" s="314"/>
      <c r="E196" s="314"/>
      <c r="F196" s="314"/>
    </row>
    <row r="197" spans="1:7" ht="22.5">
      <c r="A197" s="22"/>
      <c r="B197" s="22"/>
      <c r="C197" s="22"/>
      <c r="D197" s="22"/>
      <c r="E197" s="22"/>
      <c r="F197" s="22"/>
    </row>
    <row r="198" spans="1:7" ht="22.5">
      <c r="A198" s="22" t="s">
        <v>106</v>
      </c>
      <c r="B198" s="22"/>
      <c r="C198" s="22"/>
      <c r="D198" s="22"/>
      <c r="E198" s="22"/>
      <c r="F198" s="22"/>
    </row>
    <row r="199" spans="1:7" ht="22.5">
      <c r="A199" s="45" t="s">
        <v>2</v>
      </c>
      <c r="B199" s="25" t="s">
        <v>107</v>
      </c>
      <c r="C199" s="309" t="s">
        <v>10</v>
      </c>
      <c r="D199" s="307"/>
      <c r="E199" s="309" t="s">
        <v>96</v>
      </c>
      <c r="F199" s="307"/>
    </row>
    <row r="200" spans="1:7" ht="22.5">
      <c r="A200" s="35" t="s">
        <v>58</v>
      </c>
      <c r="B200" s="46">
        <v>532000</v>
      </c>
      <c r="C200" s="47">
        <v>4750</v>
      </c>
      <c r="D200" s="48" t="s">
        <v>127</v>
      </c>
      <c r="E200" s="49"/>
      <c r="F200" s="50"/>
    </row>
    <row r="201" spans="1:7" ht="22.5">
      <c r="A201" s="35" t="s">
        <v>132</v>
      </c>
      <c r="B201" s="46">
        <v>110605</v>
      </c>
      <c r="C201" s="51"/>
      <c r="D201" s="52"/>
      <c r="E201" s="53">
        <f>+C200</f>
        <v>4750</v>
      </c>
      <c r="F201" s="54" t="str">
        <f>+D200</f>
        <v xml:space="preserve"> -</v>
      </c>
    </row>
    <row r="202" spans="1:7" ht="22.5">
      <c r="A202" s="35"/>
      <c r="B202" s="52"/>
      <c r="C202" s="51"/>
      <c r="D202" s="52"/>
      <c r="E202" s="52"/>
      <c r="F202" s="50"/>
    </row>
    <row r="203" spans="1:7" ht="22.5">
      <c r="A203" s="35"/>
      <c r="B203" s="52"/>
      <c r="C203" s="51"/>
      <c r="D203" s="52"/>
      <c r="E203" s="52"/>
      <c r="F203" s="50"/>
    </row>
    <row r="204" spans="1:7" ht="22.5">
      <c r="A204" s="35"/>
      <c r="B204" s="52"/>
      <c r="C204" s="51"/>
      <c r="D204" s="52"/>
      <c r="E204" s="52"/>
      <c r="F204" s="50"/>
    </row>
    <row r="205" spans="1:7" ht="22.5">
      <c r="A205" s="35"/>
      <c r="B205" s="52"/>
      <c r="C205" s="51"/>
      <c r="D205" s="52"/>
      <c r="E205" s="52"/>
      <c r="F205" s="50"/>
    </row>
    <row r="206" spans="1:7" ht="22.5">
      <c r="A206" s="35"/>
      <c r="B206" s="52"/>
      <c r="C206" s="51"/>
      <c r="D206" s="52"/>
      <c r="E206" s="52"/>
      <c r="F206" s="50"/>
    </row>
    <row r="207" spans="1:7" ht="22.5">
      <c r="A207" s="35"/>
      <c r="B207" s="52"/>
      <c r="C207" s="51"/>
      <c r="D207" s="52"/>
      <c r="E207" s="52"/>
      <c r="F207" s="50"/>
    </row>
    <row r="208" spans="1:7" ht="22.5">
      <c r="A208" s="35"/>
      <c r="B208" s="52"/>
      <c r="C208" s="51"/>
      <c r="D208" s="52"/>
      <c r="E208" s="52"/>
      <c r="F208" s="50"/>
    </row>
    <row r="209" spans="1:6" ht="23.25" thickBot="1">
      <c r="A209" s="55"/>
      <c r="B209" s="56"/>
      <c r="C209" s="57">
        <f>+C200</f>
        <v>4750</v>
      </c>
      <c r="D209" s="58" t="str">
        <f>+D200</f>
        <v xml:space="preserve"> -</v>
      </c>
      <c r="E209" s="59">
        <f>+E201</f>
        <v>4750</v>
      </c>
      <c r="F209" s="60" t="str">
        <f>+F201</f>
        <v xml:space="preserve"> -</v>
      </c>
    </row>
    <row r="210" spans="1:6" ht="23.25" thickTop="1">
      <c r="A210" s="22"/>
      <c r="B210" s="22"/>
      <c r="C210" s="22"/>
      <c r="D210" s="22"/>
      <c r="E210" s="22"/>
      <c r="F210" s="22"/>
    </row>
    <row r="211" spans="1:6" ht="22.5">
      <c r="A211" s="22" t="s">
        <v>138</v>
      </c>
      <c r="B211" s="22"/>
      <c r="C211" s="22"/>
      <c r="D211" s="22"/>
      <c r="E211" s="22"/>
      <c r="F211" s="22"/>
    </row>
    <row r="212" spans="1:6" ht="22.5">
      <c r="A212" s="22"/>
      <c r="B212" s="22"/>
      <c r="C212" s="22"/>
      <c r="D212" s="22"/>
      <c r="E212" s="22"/>
      <c r="F212" s="22"/>
    </row>
    <row r="213" spans="1:6" ht="22.5">
      <c r="A213" s="22"/>
      <c r="B213" s="22"/>
      <c r="C213" s="22"/>
      <c r="D213" s="22"/>
      <c r="E213" s="22"/>
      <c r="F213" s="22"/>
    </row>
    <row r="214" spans="1:6" ht="22.5">
      <c r="A214" s="22"/>
      <c r="B214" s="22"/>
      <c r="C214" s="22"/>
      <c r="D214" s="22"/>
      <c r="E214" s="22"/>
      <c r="F214" s="22"/>
    </row>
    <row r="215" spans="1:6" ht="22.5">
      <c r="A215" s="22"/>
      <c r="B215" s="22"/>
      <c r="C215" s="22"/>
      <c r="D215" s="22"/>
      <c r="E215" s="22"/>
      <c r="F215" s="22"/>
    </row>
    <row r="216" spans="1:6" ht="22.5">
      <c r="A216" s="22"/>
      <c r="B216" s="22"/>
      <c r="C216" s="22"/>
      <c r="D216" s="22"/>
      <c r="E216" s="22"/>
      <c r="F216" s="22"/>
    </row>
    <row r="217" spans="1:6" ht="22.5">
      <c r="A217" s="22"/>
      <c r="B217" s="22"/>
      <c r="C217" s="22"/>
      <c r="D217" s="22"/>
      <c r="E217" s="22"/>
      <c r="F217" s="22"/>
    </row>
    <row r="218" spans="1:6" ht="22.5">
      <c r="A218" s="22"/>
      <c r="B218" s="22"/>
      <c r="C218" s="22"/>
      <c r="D218" s="22"/>
      <c r="E218" s="22"/>
      <c r="F218" s="22"/>
    </row>
    <row r="219" spans="1:6" ht="22.5">
      <c r="A219" s="61" t="s">
        <v>108</v>
      </c>
      <c r="B219" s="320" t="s">
        <v>109</v>
      </c>
      <c r="C219" s="321"/>
      <c r="D219" s="320" t="s">
        <v>110</v>
      </c>
      <c r="E219" s="322"/>
      <c r="F219" s="321"/>
    </row>
    <row r="220" spans="1:6" ht="22.5">
      <c r="A220" s="64"/>
      <c r="B220" s="64"/>
      <c r="C220" s="54"/>
      <c r="D220" s="63"/>
      <c r="E220" s="63"/>
      <c r="F220" s="54"/>
    </row>
    <row r="221" spans="1:6" ht="22.5">
      <c r="A221" s="64"/>
      <c r="B221" s="64"/>
      <c r="C221" s="54"/>
      <c r="D221" s="63"/>
      <c r="E221" s="63"/>
      <c r="F221" s="54"/>
    </row>
    <row r="222" spans="1:6" ht="22.5">
      <c r="A222" s="64"/>
      <c r="B222" s="64"/>
      <c r="C222" s="54"/>
      <c r="D222" s="63"/>
      <c r="E222" s="63"/>
      <c r="F222" s="54"/>
    </row>
    <row r="223" spans="1:6" ht="22.5">
      <c r="A223" s="64" t="s">
        <v>111</v>
      </c>
      <c r="B223" s="312" t="s">
        <v>112</v>
      </c>
      <c r="C223" s="313"/>
      <c r="D223" s="312" t="s">
        <v>113</v>
      </c>
      <c r="E223" s="314"/>
      <c r="F223" s="313"/>
    </row>
    <row r="224" spans="1:6" ht="22.5">
      <c r="A224" s="65" t="s">
        <v>114</v>
      </c>
      <c r="B224" s="315" t="s">
        <v>115</v>
      </c>
      <c r="C224" s="316"/>
      <c r="D224" s="315" t="s">
        <v>114</v>
      </c>
      <c r="E224" s="317"/>
      <c r="F224" s="316"/>
    </row>
    <row r="225" spans="1:7" ht="22.5">
      <c r="A225" s="22"/>
      <c r="B225" s="22"/>
      <c r="C225" s="22"/>
      <c r="D225" s="318" t="s">
        <v>104</v>
      </c>
      <c r="E225" s="318"/>
      <c r="F225" s="318"/>
      <c r="G225">
        <v>8</v>
      </c>
    </row>
    <row r="226" spans="1:7" ht="22.5">
      <c r="A226" s="22"/>
      <c r="B226" s="22"/>
      <c r="C226" s="22"/>
      <c r="D226" s="318" t="s">
        <v>139</v>
      </c>
      <c r="E226" s="318"/>
      <c r="F226" s="318"/>
    </row>
    <row r="227" spans="1:7" ht="22.5">
      <c r="A227" s="22"/>
      <c r="B227" s="22"/>
      <c r="C227" s="22"/>
      <c r="D227" s="22"/>
      <c r="E227" s="22"/>
      <c r="F227" s="22"/>
    </row>
    <row r="228" spans="1:7" ht="26.25">
      <c r="A228" s="319" t="s">
        <v>105</v>
      </c>
      <c r="B228" s="314"/>
      <c r="C228" s="314"/>
      <c r="D228" s="314"/>
      <c r="E228" s="314"/>
      <c r="F228" s="314"/>
    </row>
    <row r="229" spans="1:7" ht="22.5">
      <c r="A229" s="22"/>
      <c r="B229" s="22"/>
      <c r="C229" s="22"/>
      <c r="D229" s="22"/>
      <c r="E229" s="22"/>
      <c r="F229" s="22"/>
    </row>
    <row r="230" spans="1:7" ht="22.5">
      <c r="A230" s="22" t="s">
        <v>106</v>
      </c>
      <c r="B230" s="22"/>
      <c r="C230" s="22"/>
      <c r="D230" s="22"/>
      <c r="E230" s="22"/>
      <c r="F230" s="22"/>
    </row>
    <row r="231" spans="1:7" ht="22.5">
      <c r="A231" s="45" t="s">
        <v>2</v>
      </c>
      <c r="B231" s="25" t="s">
        <v>107</v>
      </c>
      <c r="C231" s="309" t="s">
        <v>10</v>
      </c>
      <c r="D231" s="307"/>
      <c r="E231" s="309" t="s">
        <v>96</v>
      </c>
      <c r="F231" s="307"/>
    </row>
    <row r="232" spans="1:7" ht="22.5">
      <c r="A232" s="35" t="s">
        <v>58</v>
      </c>
      <c r="B232" s="46">
        <v>532000</v>
      </c>
      <c r="C232" s="47">
        <v>10000</v>
      </c>
      <c r="D232" s="48" t="s">
        <v>127</v>
      </c>
      <c r="E232" s="49"/>
      <c r="F232" s="50"/>
    </row>
    <row r="233" spans="1:7" ht="22.5">
      <c r="A233" s="35" t="s">
        <v>132</v>
      </c>
      <c r="B233" s="46">
        <v>110605</v>
      </c>
      <c r="C233" s="51"/>
      <c r="D233" s="52"/>
      <c r="E233" s="53">
        <f>+C232</f>
        <v>10000</v>
      </c>
      <c r="F233" s="54" t="str">
        <f>+D232</f>
        <v xml:space="preserve"> -</v>
      </c>
    </row>
    <row r="234" spans="1:7" ht="22.5">
      <c r="A234" s="35"/>
      <c r="B234" s="52"/>
      <c r="C234" s="51"/>
      <c r="D234" s="52"/>
      <c r="E234" s="52"/>
      <c r="F234" s="50"/>
    </row>
    <row r="235" spans="1:7" ht="22.5">
      <c r="A235" s="35"/>
      <c r="B235" s="52"/>
      <c r="C235" s="51"/>
      <c r="D235" s="52"/>
      <c r="E235" s="52"/>
      <c r="F235" s="50"/>
    </row>
    <row r="236" spans="1:7" ht="22.5">
      <c r="A236" s="35"/>
      <c r="B236" s="52"/>
      <c r="C236" s="51"/>
      <c r="D236" s="52"/>
      <c r="E236" s="52"/>
      <c r="F236" s="50"/>
    </row>
    <row r="237" spans="1:7" ht="22.5">
      <c r="A237" s="35"/>
      <c r="B237" s="52"/>
      <c r="C237" s="51"/>
      <c r="D237" s="52"/>
      <c r="E237" s="52"/>
      <c r="F237" s="50"/>
    </row>
    <row r="238" spans="1:7" ht="22.5">
      <c r="A238" s="35"/>
      <c r="B238" s="52"/>
      <c r="C238" s="51"/>
      <c r="D238" s="52"/>
      <c r="E238" s="52"/>
      <c r="F238" s="50"/>
    </row>
    <row r="239" spans="1:7" ht="22.5">
      <c r="A239" s="35"/>
      <c r="B239" s="52"/>
      <c r="C239" s="51"/>
      <c r="D239" s="52"/>
      <c r="E239" s="52"/>
      <c r="F239" s="50"/>
    </row>
    <row r="240" spans="1:7" ht="22.5">
      <c r="A240" s="35"/>
      <c r="B240" s="52"/>
      <c r="C240" s="51"/>
      <c r="D240" s="52"/>
      <c r="E240" s="52"/>
      <c r="F240" s="50"/>
    </row>
    <row r="241" spans="1:6" ht="23.25" thickBot="1">
      <c r="A241" s="55"/>
      <c r="B241" s="56"/>
      <c r="C241" s="57">
        <f>+C232</f>
        <v>10000</v>
      </c>
      <c r="D241" s="58" t="str">
        <f>+D232</f>
        <v xml:space="preserve"> -</v>
      </c>
      <c r="E241" s="59">
        <f>+E233</f>
        <v>10000</v>
      </c>
      <c r="F241" s="60" t="str">
        <f>+F233</f>
        <v xml:space="preserve"> -</v>
      </c>
    </row>
    <row r="242" spans="1:6" ht="23.25" thickTop="1">
      <c r="A242" s="22"/>
      <c r="B242" s="22"/>
      <c r="C242" s="22"/>
      <c r="D242" s="22"/>
      <c r="E242" s="22"/>
      <c r="F242" s="22"/>
    </row>
    <row r="243" spans="1:6" ht="22.5">
      <c r="A243" s="22" t="s">
        <v>140</v>
      </c>
      <c r="B243" s="22"/>
      <c r="C243" s="22"/>
      <c r="D243" s="22"/>
      <c r="E243" s="22"/>
      <c r="F243" s="22"/>
    </row>
    <row r="244" spans="1:6" ht="22.5">
      <c r="A244" s="22"/>
      <c r="B244" s="22"/>
      <c r="C244" s="22"/>
      <c r="D244" s="22"/>
      <c r="E244" s="22"/>
      <c r="F244" s="22"/>
    </row>
    <row r="245" spans="1:6" ht="22.5">
      <c r="A245" s="22"/>
      <c r="B245" s="22"/>
      <c r="C245" s="22"/>
      <c r="D245" s="22"/>
      <c r="E245" s="22"/>
      <c r="F245" s="22"/>
    </row>
    <row r="246" spans="1:6" ht="22.5">
      <c r="A246" s="22"/>
      <c r="B246" s="22"/>
      <c r="C246" s="22"/>
      <c r="D246" s="22"/>
      <c r="E246" s="22"/>
      <c r="F246" s="22"/>
    </row>
    <row r="247" spans="1:6" ht="22.5">
      <c r="A247" s="22"/>
      <c r="B247" s="22"/>
      <c r="C247" s="22"/>
      <c r="D247" s="22"/>
      <c r="E247" s="22"/>
      <c r="F247" s="22"/>
    </row>
    <row r="248" spans="1:6" ht="22.5">
      <c r="A248" s="22"/>
      <c r="B248" s="22"/>
      <c r="C248" s="22"/>
      <c r="D248" s="22"/>
      <c r="E248" s="22"/>
      <c r="F248" s="22"/>
    </row>
    <row r="249" spans="1:6" ht="22.5">
      <c r="A249" s="22"/>
      <c r="B249" s="22"/>
      <c r="C249" s="22"/>
      <c r="D249" s="22"/>
      <c r="E249" s="22"/>
      <c r="F249" s="22"/>
    </row>
    <row r="250" spans="1:6" ht="22.5">
      <c r="A250" s="22"/>
      <c r="B250" s="22"/>
      <c r="C250" s="22"/>
      <c r="D250" s="22"/>
      <c r="E250" s="22"/>
      <c r="F250" s="22"/>
    </row>
    <row r="251" spans="1:6" ht="22.5">
      <c r="A251" s="61" t="s">
        <v>108</v>
      </c>
      <c r="B251" s="320" t="s">
        <v>109</v>
      </c>
      <c r="C251" s="321"/>
      <c r="D251" s="320" t="s">
        <v>110</v>
      </c>
      <c r="E251" s="322"/>
      <c r="F251" s="321"/>
    </row>
    <row r="252" spans="1:6" ht="22.5">
      <c r="A252" s="64"/>
      <c r="B252" s="64"/>
      <c r="C252" s="54"/>
      <c r="D252" s="63"/>
      <c r="E252" s="63"/>
      <c r="F252" s="54"/>
    </row>
    <row r="253" spans="1:6" ht="22.5">
      <c r="A253" s="64"/>
      <c r="B253" s="64"/>
      <c r="C253" s="54"/>
      <c r="D253" s="63"/>
      <c r="E253" s="63"/>
      <c r="F253" s="54"/>
    </row>
    <row r="254" spans="1:6" ht="22.5">
      <c r="A254" s="64"/>
      <c r="B254" s="64"/>
      <c r="C254" s="54"/>
      <c r="D254" s="63"/>
      <c r="E254" s="63"/>
      <c r="F254" s="54"/>
    </row>
    <row r="255" spans="1:6" ht="22.5">
      <c r="A255" s="64" t="s">
        <v>111</v>
      </c>
      <c r="B255" s="312" t="s">
        <v>112</v>
      </c>
      <c r="C255" s="313"/>
      <c r="D255" s="312" t="s">
        <v>113</v>
      </c>
      <c r="E255" s="314"/>
      <c r="F255" s="313"/>
    </row>
    <row r="256" spans="1:6" ht="22.5">
      <c r="A256" s="65" t="s">
        <v>114</v>
      </c>
      <c r="B256" s="315" t="s">
        <v>115</v>
      </c>
      <c r="C256" s="316"/>
      <c r="D256" s="315" t="s">
        <v>114</v>
      </c>
      <c r="E256" s="317"/>
      <c r="F256" s="316"/>
    </row>
    <row r="257" spans="1:7" ht="22.5">
      <c r="A257" s="22"/>
      <c r="B257" s="22"/>
      <c r="C257" s="22"/>
      <c r="D257" s="318" t="s">
        <v>104</v>
      </c>
      <c r="E257" s="318"/>
      <c r="F257" s="318"/>
      <c r="G257">
        <v>9</v>
      </c>
    </row>
    <row r="258" spans="1:7" ht="22.5">
      <c r="A258" s="22"/>
      <c r="B258" s="22"/>
      <c r="C258" s="22"/>
      <c r="D258" s="318" t="s">
        <v>131</v>
      </c>
      <c r="E258" s="318"/>
      <c r="F258" s="318"/>
    </row>
    <row r="259" spans="1:7" ht="22.5">
      <c r="A259" s="22"/>
      <c r="B259" s="22"/>
      <c r="C259" s="22"/>
      <c r="D259" s="22"/>
      <c r="E259" s="22"/>
      <c r="F259" s="22"/>
    </row>
    <row r="260" spans="1:7" ht="26.25">
      <c r="A260" s="319" t="s">
        <v>105</v>
      </c>
      <c r="B260" s="314"/>
      <c r="C260" s="314"/>
      <c r="D260" s="314"/>
      <c r="E260" s="314"/>
      <c r="F260" s="314"/>
    </row>
    <row r="261" spans="1:7" ht="22.5">
      <c r="A261" s="22"/>
      <c r="B261" s="22"/>
      <c r="C261" s="22"/>
      <c r="D261" s="22"/>
      <c r="E261" s="22"/>
      <c r="F261" s="22"/>
    </row>
    <row r="262" spans="1:7" ht="22.5">
      <c r="A262" s="22" t="s">
        <v>106</v>
      </c>
      <c r="B262" s="22"/>
      <c r="C262" s="22"/>
      <c r="D262" s="22"/>
      <c r="E262" s="22"/>
      <c r="F262" s="22"/>
    </row>
    <row r="263" spans="1:7" ht="22.5">
      <c r="A263" s="45" t="s">
        <v>2</v>
      </c>
      <c r="B263" s="25" t="s">
        <v>107</v>
      </c>
      <c r="C263" s="309" t="s">
        <v>10</v>
      </c>
      <c r="D263" s="307"/>
      <c r="E263" s="309" t="s">
        <v>96</v>
      </c>
      <c r="F263" s="307"/>
    </row>
    <row r="264" spans="1:7" ht="22.5">
      <c r="A264" s="35" t="s">
        <v>58</v>
      </c>
      <c r="B264" s="46">
        <v>532000</v>
      </c>
      <c r="C264" s="47">
        <v>10000</v>
      </c>
      <c r="D264" s="48" t="s">
        <v>127</v>
      </c>
      <c r="E264" s="49"/>
      <c r="F264" s="50"/>
    </row>
    <row r="265" spans="1:7" ht="22.5">
      <c r="A265" s="35" t="s">
        <v>132</v>
      </c>
      <c r="B265" s="46">
        <v>110605</v>
      </c>
      <c r="C265" s="51"/>
      <c r="D265" s="52"/>
      <c r="E265" s="53">
        <f>+C264</f>
        <v>10000</v>
      </c>
      <c r="F265" s="54" t="str">
        <f>+D264</f>
        <v xml:space="preserve"> -</v>
      </c>
    </row>
    <row r="266" spans="1:7" ht="22.5">
      <c r="A266" s="35"/>
      <c r="B266" s="52"/>
      <c r="C266" s="51"/>
      <c r="D266" s="52"/>
      <c r="E266" s="52"/>
      <c r="F266" s="50"/>
    </row>
    <row r="267" spans="1:7" ht="22.5">
      <c r="A267" s="35"/>
      <c r="B267" s="52"/>
      <c r="C267" s="51"/>
      <c r="D267" s="52"/>
      <c r="E267" s="52"/>
      <c r="F267" s="50"/>
    </row>
    <row r="268" spans="1:7" ht="22.5">
      <c r="A268" s="35"/>
      <c r="B268" s="52"/>
      <c r="C268" s="51"/>
      <c r="D268" s="52"/>
      <c r="E268" s="52"/>
      <c r="F268" s="50"/>
    </row>
    <row r="269" spans="1:7" ht="22.5">
      <c r="A269" s="35"/>
      <c r="B269" s="52"/>
      <c r="C269" s="51"/>
      <c r="D269" s="52"/>
      <c r="E269" s="52"/>
      <c r="F269" s="50"/>
    </row>
    <row r="270" spans="1:7" ht="22.5">
      <c r="A270" s="35"/>
      <c r="B270" s="52"/>
      <c r="C270" s="51"/>
      <c r="D270" s="52"/>
      <c r="E270" s="52"/>
      <c r="F270" s="50"/>
    </row>
    <row r="271" spans="1:7" ht="22.5">
      <c r="A271" s="35"/>
      <c r="B271" s="52"/>
      <c r="C271" s="51"/>
      <c r="D271" s="52"/>
      <c r="E271" s="52"/>
      <c r="F271" s="50"/>
    </row>
    <row r="272" spans="1:7" ht="22.5">
      <c r="A272" s="35"/>
      <c r="B272" s="52"/>
      <c r="C272" s="51"/>
      <c r="D272" s="52"/>
      <c r="E272" s="52"/>
      <c r="F272" s="50"/>
    </row>
    <row r="273" spans="1:6" ht="23.25" thickBot="1">
      <c r="A273" s="55"/>
      <c r="B273" s="56"/>
      <c r="C273" s="57">
        <f>+C264</f>
        <v>10000</v>
      </c>
      <c r="D273" s="58" t="str">
        <f>+D264</f>
        <v xml:space="preserve"> -</v>
      </c>
      <c r="E273" s="59">
        <f>+E265</f>
        <v>10000</v>
      </c>
      <c r="F273" s="60" t="str">
        <f>+F265</f>
        <v xml:space="preserve"> -</v>
      </c>
    </row>
    <row r="274" spans="1:6" ht="23.25" thickTop="1">
      <c r="A274" s="22"/>
      <c r="B274" s="22"/>
      <c r="C274" s="22"/>
      <c r="D274" s="22"/>
      <c r="E274" s="22"/>
      <c r="F274" s="22"/>
    </row>
    <row r="275" spans="1:6" ht="22.5">
      <c r="A275" s="22" t="s">
        <v>133</v>
      </c>
      <c r="B275" s="22"/>
      <c r="C275" s="22"/>
      <c r="D275" s="22"/>
      <c r="E275" s="22"/>
      <c r="F275" s="22"/>
    </row>
    <row r="276" spans="1:6" ht="22.5">
      <c r="A276" s="22"/>
      <c r="B276" s="22"/>
      <c r="C276" s="22"/>
      <c r="D276" s="22"/>
      <c r="E276" s="22"/>
      <c r="F276" s="22"/>
    </row>
    <row r="277" spans="1:6" ht="22.5">
      <c r="A277" s="22"/>
      <c r="B277" s="22"/>
      <c r="C277" s="22"/>
      <c r="D277" s="22"/>
      <c r="E277" s="22"/>
      <c r="F277" s="22"/>
    </row>
    <row r="278" spans="1:6" ht="22.5">
      <c r="A278" s="22"/>
      <c r="B278" s="22"/>
      <c r="C278" s="22"/>
      <c r="D278" s="22"/>
      <c r="E278" s="22"/>
      <c r="F278" s="22"/>
    </row>
    <row r="279" spans="1:6" ht="22.5">
      <c r="A279" s="22"/>
      <c r="B279" s="22"/>
      <c r="C279" s="22"/>
      <c r="D279" s="22"/>
      <c r="E279" s="22"/>
      <c r="F279" s="22"/>
    </row>
    <row r="280" spans="1:6" ht="22.5">
      <c r="A280" s="22"/>
      <c r="B280" s="22"/>
      <c r="C280" s="22"/>
      <c r="D280" s="22"/>
      <c r="E280" s="22"/>
      <c r="F280" s="22"/>
    </row>
    <row r="281" spans="1:6" ht="22.5">
      <c r="A281" s="22"/>
      <c r="B281" s="22"/>
      <c r="C281" s="22"/>
      <c r="D281" s="22"/>
      <c r="E281" s="22"/>
      <c r="F281" s="22"/>
    </row>
    <row r="282" spans="1:6" ht="22.5">
      <c r="A282" s="22"/>
      <c r="B282" s="22"/>
      <c r="C282" s="22"/>
      <c r="D282" s="22"/>
      <c r="E282" s="22"/>
      <c r="F282" s="22"/>
    </row>
    <row r="283" spans="1:6" ht="22.5">
      <c r="A283" s="61" t="s">
        <v>108</v>
      </c>
      <c r="B283" s="320" t="s">
        <v>109</v>
      </c>
      <c r="C283" s="321"/>
      <c r="D283" s="320" t="s">
        <v>110</v>
      </c>
      <c r="E283" s="322"/>
      <c r="F283" s="321"/>
    </row>
    <row r="284" spans="1:6" ht="22.5">
      <c r="A284" s="64"/>
      <c r="B284" s="64"/>
      <c r="C284" s="54"/>
      <c r="D284" s="63"/>
      <c r="E284" s="63"/>
      <c r="F284" s="54"/>
    </row>
    <row r="285" spans="1:6" ht="22.5">
      <c r="A285" s="64"/>
      <c r="B285" s="64"/>
      <c r="C285" s="54"/>
      <c r="D285" s="63"/>
      <c r="E285" s="63"/>
      <c r="F285" s="54"/>
    </row>
    <row r="286" spans="1:6" ht="22.5">
      <c r="A286" s="64"/>
      <c r="B286" s="64"/>
      <c r="C286" s="54"/>
      <c r="D286" s="63"/>
      <c r="E286" s="63"/>
      <c r="F286" s="54"/>
    </row>
    <row r="287" spans="1:6" ht="22.5">
      <c r="A287" s="64" t="s">
        <v>111</v>
      </c>
      <c r="B287" s="312" t="s">
        <v>112</v>
      </c>
      <c r="C287" s="313"/>
      <c r="D287" s="312" t="s">
        <v>113</v>
      </c>
      <c r="E287" s="314"/>
      <c r="F287" s="313"/>
    </row>
    <row r="288" spans="1:6" ht="22.5">
      <c r="A288" s="65" t="s">
        <v>114</v>
      </c>
      <c r="B288" s="315" t="s">
        <v>115</v>
      </c>
      <c r="C288" s="316"/>
      <c r="D288" s="315" t="s">
        <v>114</v>
      </c>
      <c r="E288" s="317"/>
      <c r="F288" s="316"/>
    </row>
    <row r="289" spans="1:7" ht="22.5">
      <c r="A289" s="22"/>
      <c r="B289" s="22"/>
      <c r="C289" s="22"/>
      <c r="D289" s="318" t="s">
        <v>104</v>
      </c>
      <c r="E289" s="318"/>
      <c r="F289" s="318"/>
      <c r="G289">
        <v>10</v>
      </c>
    </row>
    <row r="290" spans="1:7" ht="22.5">
      <c r="A290" s="22"/>
      <c r="B290" s="22"/>
      <c r="C290" s="22"/>
      <c r="D290" s="318" t="s">
        <v>141</v>
      </c>
      <c r="E290" s="318"/>
      <c r="F290" s="318"/>
    </row>
    <row r="291" spans="1:7" ht="22.5">
      <c r="A291" s="22"/>
      <c r="B291" s="22"/>
      <c r="C291" s="22"/>
      <c r="D291" s="22"/>
      <c r="E291" s="22"/>
      <c r="F291" s="22"/>
    </row>
    <row r="292" spans="1:7" ht="26.25">
      <c r="A292" s="319" t="s">
        <v>105</v>
      </c>
      <c r="B292" s="314"/>
      <c r="C292" s="314"/>
      <c r="D292" s="314"/>
      <c r="E292" s="314"/>
      <c r="F292" s="314"/>
    </row>
    <row r="293" spans="1:7" ht="22.5">
      <c r="A293" s="22"/>
      <c r="B293" s="22"/>
      <c r="C293" s="22"/>
      <c r="D293" s="22"/>
      <c r="E293" s="22"/>
      <c r="F293" s="22"/>
    </row>
    <row r="294" spans="1:7" ht="22.5">
      <c r="A294" s="22" t="s">
        <v>106</v>
      </c>
      <c r="B294" s="22"/>
      <c r="C294" s="22"/>
      <c r="D294" s="22"/>
      <c r="E294" s="22"/>
      <c r="F294" s="22"/>
    </row>
    <row r="295" spans="1:7" ht="22.5">
      <c r="A295" s="45" t="s">
        <v>2</v>
      </c>
      <c r="B295" s="25" t="s">
        <v>107</v>
      </c>
      <c r="C295" s="309" t="s">
        <v>10</v>
      </c>
      <c r="D295" s="307"/>
      <c r="E295" s="309" t="s">
        <v>96</v>
      </c>
      <c r="F295" s="307"/>
    </row>
    <row r="296" spans="1:7" ht="22.5">
      <c r="A296" s="35" t="s">
        <v>58</v>
      </c>
      <c r="B296" s="46">
        <v>532000</v>
      </c>
      <c r="C296" s="47">
        <v>8000</v>
      </c>
      <c r="D296" s="48" t="s">
        <v>127</v>
      </c>
      <c r="E296" s="49"/>
      <c r="F296" s="50"/>
    </row>
    <row r="297" spans="1:7" ht="22.5">
      <c r="A297" s="35" t="s">
        <v>132</v>
      </c>
      <c r="B297" s="46">
        <v>110605</v>
      </c>
      <c r="C297" s="51"/>
      <c r="D297" s="52"/>
      <c r="E297" s="53">
        <f>+C296</f>
        <v>8000</v>
      </c>
      <c r="F297" s="54" t="str">
        <f>+D296</f>
        <v xml:space="preserve"> -</v>
      </c>
    </row>
    <row r="298" spans="1:7" ht="22.5">
      <c r="A298" s="35"/>
      <c r="B298" s="52"/>
      <c r="C298" s="51"/>
      <c r="D298" s="52"/>
      <c r="E298" s="52"/>
      <c r="F298" s="50"/>
    </row>
    <row r="299" spans="1:7" ht="22.5">
      <c r="A299" s="35"/>
      <c r="B299" s="52"/>
      <c r="C299" s="51"/>
      <c r="D299" s="52"/>
      <c r="E299" s="52"/>
      <c r="F299" s="50"/>
    </row>
    <row r="300" spans="1:7" ht="22.5">
      <c r="A300" s="35"/>
      <c r="B300" s="52"/>
      <c r="C300" s="51"/>
      <c r="D300" s="52"/>
      <c r="E300" s="52"/>
      <c r="F300" s="50"/>
    </row>
    <row r="301" spans="1:7" ht="22.5">
      <c r="A301" s="35"/>
      <c r="B301" s="52"/>
      <c r="C301" s="51"/>
      <c r="D301" s="52"/>
      <c r="E301" s="52"/>
      <c r="F301" s="50"/>
    </row>
    <row r="302" spans="1:7" ht="22.5">
      <c r="A302" s="35"/>
      <c r="B302" s="52"/>
      <c r="C302" s="51"/>
      <c r="D302" s="52"/>
      <c r="E302" s="52"/>
      <c r="F302" s="50"/>
    </row>
    <row r="303" spans="1:7" ht="22.5">
      <c r="A303" s="35"/>
      <c r="B303" s="52"/>
      <c r="C303" s="51"/>
      <c r="D303" s="52"/>
      <c r="E303" s="52"/>
      <c r="F303" s="50"/>
    </row>
    <row r="304" spans="1:7" ht="22.5">
      <c r="A304" s="35"/>
      <c r="B304" s="52"/>
      <c r="C304" s="51"/>
      <c r="D304" s="52"/>
      <c r="E304" s="52"/>
      <c r="F304" s="50"/>
    </row>
    <row r="305" spans="1:6" ht="23.25" thickBot="1">
      <c r="A305" s="55"/>
      <c r="B305" s="56"/>
      <c r="C305" s="57">
        <f>+C296</f>
        <v>8000</v>
      </c>
      <c r="D305" s="58" t="str">
        <f>+D296</f>
        <v xml:space="preserve"> -</v>
      </c>
      <c r="E305" s="59">
        <f>+E297</f>
        <v>8000</v>
      </c>
      <c r="F305" s="60" t="str">
        <f>+F297</f>
        <v xml:space="preserve"> -</v>
      </c>
    </row>
    <row r="306" spans="1:6" ht="23.25" thickTop="1">
      <c r="A306" s="22"/>
      <c r="B306" s="22"/>
      <c r="C306" s="22"/>
      <c r="D306" s="22"/>
      <c r="E306" s="22"/>
      <c r="F306" s="22"/>
    </row>
    <row r="307" spans="1:6" ht="22.5">
      <c r="A307" s="22" t="s">
        <v>142</v>
      </c>
      <c r="B307" s="22"/>
      <c r="C307" s="22"/>
      <c r="D307" s="22"/>
      <c r="E307" s="22"/>
      <c r="F307" s="22"/>
    </row>
    <row r="308" spans="1:6" ht="22.5">
      <c r="A308" s="22"/>
      <c r="B308" s="22"/>
      <c r="C308" s="22"/>
      <c r="D308" s="22"/>
      <c r="E308" s="22"/>
      <c r="F308" s="22"/>
    </row>
    <row r="309" spans="1:6" ht="22.5">
      <c r="A309" s="22"/>
      <c r="B309" s="22"/>
      <c r="C309" s="22"/>
      <c r="D309" s="22"/>
      <c r="E309" s="22"/>
      <c r="F309" s="22"/>
    </row>
    <row r="310" spans="1:6" ht="22.5">
      <c r="A310" s="22"/>
      <c r="B310" s="22"/>
      <c r="C310" s="22"/>
      <c r="D310" s="22"/>
      <c r="E310" s="22"/>
      <c r="F310" s="22"/>
    </row>
    <row r="311" spans="1:6" ht="22.5">
      <c r="A311" s="22"/>
      <c r="B311" s="22"/>
      <c r="C311" s="22"/>
      <c r="D311" s="22"/>
      <c r="E311" s="22"/>
      <c r="F311" s="22"/>
    </row>
    <row r="312" spans="1:6" ht="22.5">
      <c r="A312" s="22"/>
      <c r="B312" s="22"/>
      <c r="C312" s="22"/>
      <c r="D312" s="22"/>
      <c r="E312" s="22"/>
      <c r="F312" s="22"/>
    </row>
    <row r="313" spans="1:6" ht="22.5">
      <c r="A313" s="22"/>
      <c r="B313" s="22"/>
      <c r="C313" s="22"/>
      <c r="D313" s="22"/>
      <c r="E313" s="22"/>
      <c r="F313" s="22"/>
    </row>
    <row r="314" spans="1:6" ht="22.5">
      <c r="A314" s="22"/>
      <c r="B314" s="22"/>
      <c r="C314" s="22"/>
      <c r="D314" s="22"/>
      <c r="E314" s="22"/>
      <c r="F314" s="22"/>
    </row>
    <row r="315" spans="1:6" ht="22.5">
      <c r="A315" s="61" t="s">
        <v>108</v>
      </c>
      <c r="B315" s="320" t="s">
        <v>109</v>
      </c>
      <c r="C315" s="321"/>
      <c r="D315" s="320" t="s">
        <v>110</v>
      </c>
      <c r="E315" s="322"/>
      <c r="F315" s="321"/>
    </row>
    <row r="316" spans="1:6" ht="22.5">
      <c r="A316" s="64"/>
      <c r="B316" s="64"/>
      <c r="C316" s="54"/>
      <c r="D316" s="63"/>
      <c r="E316" s="63"/>
      <c r="F316" s="54"/>
    </row>
    <row r="317" spans="1:6" ht="22.5">
      <c r="A317" s="64"/>
      <c r="B317" s="64"/>
      <c r="C317" s="54"/>
      <c r="D317" s="63"/>
      <c r="E317" s="63"/>
      <c r="F317" s="54"/>
    </row>
    <row r="318" spans="1:6" ht="22.5">
      <c r="A318" s="64"/>
      <c r="B318" s="64"/>
      <c r="C318" s="54"/>
      <c r="D318" s="63"/>
      <c r="E318" s="63"/>
      <c r="F318" s="54"/>
    </row>
    <row r="319" spans="1:6" ht="22.5">
      <c r="A319" s="64" t="s">
        <v>111</v>
      </c>
      <c r="B319" s="312" t="s">
        <v>112</v>
      </c>
      <c r="C319" s="313"/>
      <c r="D319" s="312" t="s">
        <v>113</v>
      </c>
      <c r="E319" s="314"/>
      <c r="F319" s="313"/>
    </row>
    <row r="320" spans="1:6" ht="22.5">
      <c r="A320" s="65" t="s">
        <v>114</v>
      </c>
      <c r="B320" s="315" t="s">
        <v>115</v>
      </c>
      <c r="C320" s="316"/>
      <c r="D320" s="315" t="s">
        <v>114</v>
      </c>
      <c r="E320" s="317"/>
      <c r="F320" s="316"/>
    </row>
    <row r="321" spans="1:7" ht="22.5">
      <c r="A321" s="22"/>
      <c r="B321" s="22"/>
      <c r="C321" s="22"/>
      <c r="D321" s="318" t="s">
        <v>104</v>
      </c>
      <c r="E321" s="318"/>
      <c r="F321" s="318"/>
      <c r="G321">
        <v>11</v>
      </c>
    </row>
    <row r="322" spans="1:7" ht="22.5">
      <c r="A322" s="22"/>
      <c r="B322" s="22"/>
      <c r="C322" s="22"/>
      <c r="D322" s="318" t="s">
        <v>131</v>
      </c>
      <c r="E322" s="318"/>
      <c r="F322" s="318"/>
    </row>
    <row r="323" spans="1:7" ht="22.5">
      <c r="A323" s="22"/>
      <c r="B323" s="22"/>
      <c r="C323" s="22"/>
      <c r="D323" s="22"/>
      <c r="E323" s="22"/>
      <c r="F323" s="22"/>
    </row>
    <row r="324" spans="1:7" ht="26.25">
      <c r="A324" s="319" t="s">
        <v>105</v>
      </c>
      <c r="B324" s="314"/>
      <c r="C324" s="314"/>
      <c r="D324" s="314"/>
      <c r="E324" s="314"/>
      <c r="F324" s="314"/>
    </row>
    <row r="325" spans="1:7" ht="22.5">
      <c r="A325" s="22"/>
      <c r="B325" s="22"/>
      <c r="C325" s="22"/>
      <c r="D325" s="22"/>
      <c r="E325" s="22"/>
      <c r="F325" s="22"/>
    </row>
    <row r="326" spans="1:7" ht="22.5">
      <c r="A326" s="22" t="s">
        <v>106</v>
      </c>
      <c r="B326" s="22"/>
      <c r="C326" s="22"/>
      <c r="D326" s="22"/>
      <c r="E326" s="22"/>
      <c r="F326" s="22"/>
    </row>
    <row r="327" spans="1:7" ht="22.5">
      <c r="A327" s="45" t="s">
        <v>2</v>
      </c>
      <c r="B327" s="25" t="s">
        <v>107</v>
      </c>
      <c r="C327" s="309" t="s">
        <v>10</v>
      </c>
      <c r="D327" s="307"/>
      <c r="E327" s="309" t="s">
        <v>96</v>
      </c>
      <c r="F327" s="307"/>
    </row>
    <row r="328" spans="1:7" ht="22.5">
      <c r="A328" s="35" t="s">
        <v>58</v>
      </c>
      <c r="B328" s="46">
        <v>532000</v>
      </c>
      <c r="C328" s="47">
        <v>8736</v>
      </c>
      <c r="D328" s="48" t="s">
        <v>127</v>
      </c>
      <c r="E328" s="49"/>
      <c r="F328" s="50"/>
    </row>
    <row r="329" spans="1:7" ht="22.5">
      <c r="A329" s="35" t="s">
        <v>132</v>
      </c>
      <c r="B329" s="46">
        <v>110605</v>
      </c>
      <c r="C329" s="51"/>
      <c r="D329" s="52"/>
      <c r="E329" s="53">
        <f>+C328</f>
        <v>8736</v>
      </c>
      <c r="F329" s="54" t="str">
        <f>+D328</f>
        <v xml:space="preserve"> -</v>
      </c>
    </row>
    <row r="330" spans="1:7" ht="22.5">
      <c r="A330" s="35"/>
      <c r="B330" s="52"/>
      <c r="C330" s="51"/>
      <c r="D330" s="52"/>
      <c r="E330" s="52"/>
      <c r="F330" s="50"/>
    </row>
    <row r="331" spans="1:7" ht="22.5">
      <c r="A331" s="35"/>
      <c r="B331" s="52"/>
      <c r="C331" s="51"/>
      <c r="D331" s="52"/>
      <c r="E331" s="52"/>
      <c r="F331" s="50"/>
    </row>
    <row r="332" spans="1:7" ht="22.5">
      <c r="A332" s="35"/>
      <c r="B332" s="52"/>
      <c r="C332" s="51"/>
      <c r="D332" s="52"/>
      <c r="E332" s="52"/>
      <c r="F332" s="50"/>
    </row>
    <row r="333" spans="1:7" ht="22.5">
      <c r="A333" s="35"/>
      <c r="B333" s="52"/>
      <c r="C333" s="51"/>
      <c r="D333" s="52"/>
      <c r="E333" s="52"/>
      <c r="F333" s="50"/>
    </row>
    <row r="334" spans="1:7" ht="22.5">
      <c r="A334" s="35"/>
      <c r="B334" s="52"/>
      <c r="C334" s="51"/>
      <c r="D334" s="52"/>
      <c r="E334" s="52"/>
      <c r="F334" s="50"/>
    </row>
    <row r="335" spans="1:7" ht="22.5">
      <c r="A335" s="35"/>
      <c r="B335" s="52"/>
      <c r="C335" s="51"/>
      <c r="D335" s="52"/>
      <c r="E335" s="52"/>
      <c r="F335" s="50"/>
    </row>
    <row r="336" spans="1:7" ht="22.5">
      <c r="A336" s="35"/>
      <c r="B336" s="52"/>
      <c r="C336" s="51"/>
      <c r="D336" s="52"/>
      <c r="E336" s="52"/>
      <c r="F336" s="50"/>
    </row>
    <row r="337" spans="1:6" ht="23.25" thickBot="1">
      <c r="A337" s="55"/>
      <c r="B337" s="56"/>
      <c r="C337" s="57">
        <f>+C328</f>
        <v>8736</v>
      </c>
      <c r="D337" s="58" t="str">
        <f>+D328</f>
        <v xml:space="preserve"> -</v>
      </c>
      <c r="E337" s="59">
        <f>+E329</f>
        <v>8736</v>
      </c>
      <c r="F337" s="60" t="str">
        <f>+F329</f>
        <v xml:space="preserve"> -</v>
      </c>
    </row>
    <row r="338" spans="1:6" ht="23.25" thickTop="1">
      <c r="A338" s="22"/>
      <c r="B338" s="22"/>
      <c r="C338" s="22"/>
      <c r="D338" s="22"/>
      <c r="E338" s="22"/>
      <c r="F338" s="22"/>
    </row>
    <row r="339" spans="1:6" ht="22.5">
      <c r="A339" s="22" t="s">
        <v>143</v>
      </c>
      <c r="B339" s="22"/>
      <c r="C339" s="22"/>
      <c r="D339" s="22"/>
      <c r="E339" s="22"/>
      <c r="F339" s="22"/>
    </row>
    <row r="340" spans="1:6" ht="22.5">
      <c r="A340" s="22"/>
      <c r="B340" s="22"/>
      <c r="C340" s="22"/>
      <c r="D340" s="22"/>
      <c r="E340" s="22"/>
      <c r="F340" s="22"/>
    </row>
    <row r="341" spans="1:6" ht="22.5">
      <c r="A341" s="22"/>
      <c r="B341" s="22"/>
      <c r="C341" s="22"/>
      <c r="D341" s="22"/>
      <c r="E341" s="22"/>
      <c r="F341" s="22"/>
    </row>
    <row r="342" spans="1:6" ht="22.5">
      <c r="A342" s="22"/>
      <c r="B342" s="22"/>
      <c r="C342" s="22"/>
      <c r="D342" s="22"/>
      <c r="E342" s="22"/>
      <c r="F342" s="22"/>
    </row>
    <row r="343" spans="1:6" ht="22.5">
      <c r="A343" s="22"/>
      <c r="B343" s="22"/>
      <c r="C343" s="22"/>
      <c r="D343" s="22"/>
      <c r="E343" s="22"/>
      <c r="F343" s="22"/>
    </row>
    <row r="344" spans="1:6" ht="22.5">
      <c r="A344" s="22"/>
      <c r="B344" s="22"/>
      <c r="C344" s="22"/>
      <c r="D344" s="22"/>
      <c r="E344" s="22"/>
      <c r="F344" s="22"/>
    </row>
    <row r="345" spans="1:6" ht="22.5">
      <c r="A345" s="22"/>
      <c r="B345" s="22"/>
      <c r="C345" s="22"/>
      <c r="D345" s="22"/>
      <c r="E345" s="22"/>
      <c r="F345" s="22"/>
    </row>
    <row r="346" spans="1:6" ht="22.5">
      <c r="A346" s="22"/>
      <c r="B346" s="22"/>
      <c r="C346" s="22"/>
      <c r="D346" s="22"/>
      <c r="E346" s="22"/>
      <c r="F346" s="22"/>
    </row>
    <row r="347" spans="1:6" ht="22.5">
      <c r="A347" s="61" t="s">
        <v>108</v>
      </c>
      <c r="B347" s="320" t="s">
        <v>109</v>
      </c>
      <c r="C347" s="321"/>
      <c r="D347" s="320" t="s">
        <v>110</v>
      </c>
      <c r="E347" s="322"/>
      <c r="F347" s="321"/>
    </row>
    <row r="348" spans="1:6" ht="22.5">
      <c r="A348" s="64"/>
      <c r="B348" s="64"/>
      <c r="C348" s="54"/>
      <c r="D348" s="63"/>
      <c r="E348" s="63"/>
      <c r="F348" s="54"/>
    </row>
    <row r="349" spans="1:6" ht="22.5">
      <c r="A349" s="64"/>
      <c r="B349" s="64"/>
      <c r="C349" s="54"/>
      <c r="D349" s="63"/>
      <c r="E349" s="63"/>
      <c r="F349" s="54"/>
    </row>
    <row r="350" spans="1:6" ht="22.5">
      <c r="A350" s="64"/>
      <c r="B350" s="64"/>
      <c r="C350" s="54"/>
      <c r="D350" s="63"/>
      <c r="E350" s="63"/>
      <c r="F350" s="54"/>
    </row>
    <row r="351" spans="1:6" ht="22.5">
      <c r="A351" s="64" t="s">
        <v>111</v>
      </c>
      <c r="B351" s="312" t="s">
        <v>112</v>
      </c>
      <c r="C351" s="313"/>
      <c r="D351" s="312" t="s">
        <v>113</v>
      </c>
      <c r="E351" s="314"/>
      <c r="F351" s="313"/>
    </row>
    <row r="352" spans="1:6" ht="22.5">
      <c r="A352" s="65" t="s">
        <v>114</v>
      </c>
      <c r="B352" s="315" t="s">
        <v>115</v>
      </c>
      <c r="C352" s="316"/>
      <c r="D352" s="315" t="s">
        <v>114</v>
      </c>
      <c r="E352" s="317"/>
      <c r="F352" s="316"/>
    </row>
    <row r="353" spans="1:7" ht="22.5">
      <c r="A353" s="22"/>
      <c r="B353" s="22"/>
      <c r="C353" s="22"/>
      <c r="D353" s="318" t="s">
        <v>104</v>
      </c>
      <c r="E353" s="318"/>
      <c r="F353" s="318"/>
      <c r="G353">
        <v>12</v>
      </c>
    </row>
    <row r="354" spans="1:7" ht="22.5">
      <c r="A354" s="22"/>
      <c r="B354" s="22"/>
      <c r="C354" s="22"/>
      <c r="D354" s="318" t="s">
        <v>144</v>
      </c>
      <c r="E354" s="318"/>
      <c r="F354" s="318"/>
    </row>
    <row r="355" spans="1:7" ht="22.5">
      <c r="A355" s="22"/>
      <c r="B355" s="22"/>
      <c r="C355" s="22"/>
      <c r="D355" s="22"/>
      <c r="E355" s="22"/>
      <c r="F355" s="22"/>
    </row>
    <row r="356" spans="1:7" ht="26.25">
      <c r="A356" s="319" t="s">
        <v>105</v>
      </c>
      <c r="B356" s="314"/>
      <c r="C356" s="314"/>
      <c r="D356" s="314"/>
      <c r="E356" s="314"/>
      <c r="F356" s="314"/>
    </row>
    <row r="357" spans="1:7" ht="22.5">
      <c r="A357" s="22"/>
      <c r="B357" s="22"/>
      <c r="C357" s="22"/>
      <c r="D357" s="22"/>
      <c r="E357" s="22"/>
      <c r="F357" s="22"/>
    </row>
    <row r="358" spans="1:7" ht="22.5">
      <c r="A358" s="22" t="s">
        <v>106</v>
      </c>
      <c r="B358" s="22"/>
      <c r="C358" s="22"/>
      <c r="D358" s="22"/>
      <c r="E358" s="22"/>
      <c r="F358" s="22"/>
    </row>
    <row r="359" spans="1:7" ht="22.5">
      <c r="A359" s="45" t="s">
        <v>2</v>
      </c>
      <c r="B359" s="25" t="s">
        <v>107</v>
      </c>
      <c r="C359" s="309" t="s">
        <v>10</v>
      </c>
      <c r="D359" s="307"/>
      <c r="E359" s="309" t="s">
        <v>96</v>
      </c>
      <c r="F359" s="307"/>
    </row>
    <row r="360" spans="1:7" ht="22.5">
      <c r="A360" s="35" t="s">
        <v>58</v>
      </c>
      <c r="B360" s="46">
        <v>532000</v>
      </c>
      <c r="C360" s="47">
        <v>5000</v>
      </c>
      <c r="D360" s="48" t="s">
        <v>127</v>
      </c>
      <c r="E360" s="49"/>
      <c r="F360" s="50"/>
    </row>
    <row r="361" spans="1:7" ht="22.5">
      <c r="A361" s="35" t="s">
        <v>132</v>
      </c>
      <c r="B361" s="46">
        <v>110605</v>
      </c>
      <c r="C361" s="51"/>
      <c r="D361" s="52"/>
      <c r="E361" s="53">
        <f>+C360</f>
        <v>5000</v>
      </c>
      <c r="F361" s="54" t="str">
        <f>+D360</f>
        <v xml:space="preserve"> -</v>
      </c>
    </row>
    <row r="362" spans="1:7" ht="22.5">
      <c r="A362" s="35"/>
      <c r="B362" s="52"/>
      <c r="C362" s="51"/>
      <c r="D362" s="52"/>
      <c r="E362" s="52"/>
      <c r="F362" s="50"/>
    </row>
    <row r="363" spans="1:7" ht="22.5">
      <c r="A363" s="35"/>
      <c r="B363" s="52"/>
      <c r="C363" s="51"/>
      <c r="D363" s="52"/>
      <c r="E363" s="52"/>
      <c r="F363" s="50"/>
    </row>
    <row r="364" spans="1:7" ht="22.5">
      <c r="A364" s="35"/>
      <c r="B364" s="52"/>
      <c r="C364" s="51"/>
      <c r="D364" s="52"/>
      <c r="E364" s="52"/>
      <c r="F364" s="50"/>
    </row>
    <row r="365" spans="1:7" ht="22.5">
      <c r="A365" s="35"/>
      <c r="B365" s="52"/>
      <c r="C365" s="51"/>
      <c r="D365" s="52"/>
      <c r="E365" s="52"/>
      <c r="F365" s="50"/>
    </row>
    <row r="366" spans="1:7" ht="22.5">
      <c r="A366" s="35"/>
      <c r="B366" s="52"/>
      <c r="C366" s="51"/>
      <c r="D366" s="52"/>
      <c r="E366" s="52"/>
      <c r="F366" s="50"/>
    </row>
    <row r="367" spans="1:7" ht="22.5">
      <c r="A367" s="35"/>
      <c r="B367" s="52"/>
      <c r="C367" s="51"/>
      <c r="D367" s="52"/>
      <c r="E367" s="52"/>
      <c r="F367" s="50"/>
    </row>
    <row r="368" spans="1:7" ht="22.5">
      <c r="A368" s="35"/>
      <c r="B368" s="52"/>
      <c r="C368" s="51"/>
      <c r="D368" s="52"/>
      <c r="E368" s="52"/>
      <c r="F368" s="50"/>
    </row>
    <row r="369" spans="1:6" ht="23.25" thickBot="1">
      <c r="A369" s="55"/>
      <c r="B369" s="56"/>
      <c r="C369" s="57">
        <f>+C360</f>
        <v>5000</v>
      </c>
      <c r="D369" s="58" t="str">
        <f>+D360</f>
        <v xml:space="preserve"> -</v>
      </c>
      <c r="E369" s="59">
        <f>+E361</f>
        <v>5000</v>
      </c>
      <c r="F369" s="60" t="str">
        <f>+F361</f>
        <v xml:space="preserve"> -</v>
      </c>
    </row>
    <row r="370" spans="1:6" ht="23.25" thickTop="1">
      <c r="A370" s="22"/>
      <c r="B370" s="22"/>
      <c r="C370" s="22"/>
      <c r="D370" s="22"/>
      <c r="E370" s="22"/>
      <c r="F370" s="22"/>
    </row>
    <row r="371" spans="1:6" ht="22.5">
      <c r="A371" s="22" t="s">
        <v>145</v>
      </c>
      <c r="B371" s="22"/>
      <c r="C371" s="22"/>
      <c r="D371" s="22"/>
      <c r="E371" s="22"/>
      <c r="F371" s="22"/>
    </row>
    <row r="372" spans="1:6" ht="22.5">
      <c r="A372" s="22"/>
      <c r="B372" s="22"/>
      <c r="C372" s="22"/>
      <c r="D372" s="22"/>
      <c r="E372" s="22"/>
      <c r="F372" s="22"/>
    </row>
    <row r="373" spans="1:6" ht="22.5">
      <c r="A373" s="22"/>
      <c r="B373" s="22"/>
      <c r="C373" s="22"/>
      <c r="D373" s="22"/>
      <c r="E373" s="22"/>
      <c r="F373" s="22"/>
    </row>
    <row r="374" spans="1:6" ht="22.5">
      <c r="A374" s="22"/>
      <c r="B374" s="22"/>
      <c r="C374" s="22"/>
      <c r="D374" s="22"/>
      <c r="E374" s="22"/>
      <c r="F374" s="22"/>
    </row>
    <row r="375" spans="1:6" ht="22.5">
      <c r="A375" s="22"/>
      <c r="B375" s="22"/>
      <c r="C375" s="22"/>
      <c r="D375" s="22"/>
      <c r="E375" s="22"/>
      <c r="F375" s="22"/>
    </row>
    <row r="376" spans="1:6" ht="22.5">
      <c r="A376" s="22"/>
      <c r="B376" s="22"/>
      <c r="C376" s="22"/>
      <c r="D376" s="22"/>
      <c r="E376" s="22"/>
      <c r="F376" s="22"/>
    </row>
    <row r="377" spans="1:6" ht="22.5">
      <c r="A377" s="22"/>
      <c r="B377" s="22"/>
      <c r="C377" s="22"/>
      <c r="D377" s="22"/>
      <c r="E377" s="22"/>
      <c r="F377" s="22"/>
    </row>
    <row r="378" spans="1:6" ht="22.5">
      <c r="A378" s="22"/>
      <c r="B378" s="22"/>
      <c r="C378" s="22"/>
      <c r="D378" s="22"/>
      <c r="E378" s="22"/>
      <c r="F378" s="22"/>
    </row>
    <row r="379" spans="1:6" ht="22.5">
      <c r="A379" s="61" t="s">
        <v>108</v>
      </c>
      <c r="B379" s="320" t="s">
        <v>109</v>
      </c>
      <c r="C379" s="321"/>
      <c r="D379" s="320" t="s">
        <v>110</v>
      </c>
      <c r="E379" s="322"/>
      <c r="F379" s="321"/>
    </row>
    <row r="380" spans="1:6" ht="22.5">
      <c r="A380" s="64"/>
      <c r="B380" s="64"/>
      <c r="C380" s="54"/>
      <c r="D380" s="63"/>
      <c r="E380" s="63"/>
      <c r="F380" s="54"/>
    </row>
    <row r="381" spans="1:6" ht="22.5">
      <c r="A381" s="64"/>
      <c r="B381" s="64"/>
      <c r="C381" s="54"/>
      <c r="D381" s="63"/>
      <c r="E381" s="63"/>
      <c r="F381" s="54"/>
    </row>
    <row r="382" spans="1:6" ht="22.5">
      <c r="A382" s="64"/>
      <c r="B382" s="64"/>
      <c r="C382" s="54"/>
      <c r="D382" s="63"/>
      <c r="E382" s="63"/>
      <c r="F382" s="54"/>
    </row>
    <row r="383" spans="1:6" ht="22.5">
      <c r="A383" s="64" t="s">
        <v>111</v>
      </c>
      <c r="B383" s="312" t="s">
        <v>112</v>
      </c>
      <c r="C383" s="313"/>
      <c r="D383" s="312" t="s">
        <v>113</v>
      </c>
      <c r="E383" s="314"/>
      <c r="F383" s="313"/>
    </row>
    <row r="384" spans="1:6" ht="22.5">
      <c r="A384" s="65" t="s">
        <v>114</v>
      </c>
      <c r="B384" s="315" t="s">
        <v>115</v>
      </c>
      <c r="C384" s="316"/>
      <c r="D384" s="315" t="s">
        <v>114</v>
      </c>
      <c r="E384" s="317"/>
      <c r="F384" s="316"/>
    </row>
    <row r="385" spans="1:7" ht="22.5">
      <c r="A385" s="22"/>
      <c r="B385" s="22"/>
      <c r="C385" s="22"/>
      <c r="D385" s="318" t="s">
        <v>104</v>
      </c>
      <c r="E385" s="318"/>
      <c r="F385" s="318"/>
      <c r="G385">
        <v>13</v>
      </c>
    </row>
    <row r="386" spans="1:7" ht="22.5">
      <c r="A386" s="22"/>
      <c r="B386" s="22"/>
      <c r="C386" s="22"/>
      <c r="D386" s="318" t="s">
        <v>131</v>
      </c>
      <c r="E386" s="318"/>
      <c r="F386" s="318"/>
    </row>
    <row r="387" spans="1:7" ht="22.5">
      <c r="A387" s="22"/>
      <c r="B387" s="22"/>
      <c r="C387" s="22"/>
      <c r="D387" s="22"/>
      <c r="E387" s="22"/>
      <c r="F387" s="22"/>
    </row>
    <row r="388" spans="1:7" ht="26.25">
      <c r="A388" s="319" t="s">
        <v>105</v>
      </c>
      <c r="B388" s="314"/>
      <c r="C388" s="314"/>
      <c r="D388" s="314"/>
      <c r="E388" s="314"/>
      <c r="F388" s="314"/>
    </row>
    <row r="389" spans="1:7" ht="22.5">
      <c r="A389" s="22"/>
      <c r="B389" s="22"/>
      <c r="C389" s="22"/>
      <c r="D389" s="22"/>
      <c r="E389" s="22"/>
      <c r="F389" s="22"/>
    </row>
    <row r="390" spans="1:7" ht="22.5">
      <c r="A390" s="22" t="s">
        <v>106</v>
      </c>
      <c r="B390" s="22"/>
      <c r="C390" s="22"/>
      <c r="D390" s="22"/>
      <c r="E390" s="22"/>
      <c r="F390" s="22"/>
    </row>
    <row r="391" spans="1:7" ht="22.5">
      <c r="A391" s="45" t="s">
        <v>2</v>
      </c>
      <c r="B391" s="25" t="s">
        <v>107</v>
      </c>
      <c r="C391" s="309" t="s">
        <v>10</v>
      </c>
      <c r="D391" s="307"/>
      <c r="E391" s="309" t="s">
        <v>96</v>
      </c>
      <c r="F391" s="307"/>
    </row>
    <row r="392" spans="1:7" ht="22.5">
      <c r="A392" s="35" t="s">
        <v>146</v>
      </c>
      <c r="B392" s="46">
        <v>110201</v>
      </c>
      <c r="C392" s="47">
        <v>324</v>
      </c>
      <c r="D392" s="48">
        <v>29</v>
      </c>
      <c r="E392" s="49"/>
      <c r="F392" s="50"/>
    </row>
    <row r="393" spans="1:7" ht="22.5">
      <c r="A393" s="35" t="s">
        <v>629</v>
      </c>
      <c r="B393" s="46">
        <v>230199</v>
      </c>
      <c r="C393" s="51"/>
      <c r="D393" s="52"/>
      <c r="E393" s="53">
        <f>+C392</f>
        <v>324</v>
      </c>
      <c r="F393" s="54">
        <f>+D392</f>
        <v>29</v>
      </c>
    </row>
    <row r="394" spans="1:7" ht="22.5">
      <c r="A394" s="35"/>
      <c r="B394" s="52"/>
      <c r="C394" s="51"/>
      <c r="D394" s="52"/>
      <c r="E394" s="52"/>
      <c r="F394" s="50"/>
    </row>
    <row r="395" spans="1:7" ht="22.5">
      <c r="A395" s="35"/>
      <c r="B395" s="52"/>
      <c r="C395" s="51"/>
      <c r="D395" s="52"/>
      <c r="E395" s="52"/>
      <c r="F395" s="50"/>
    </row>
    <row r="396" spans="1:7" ht="22.5">
      <c r="A396" s="35"/>
      <c r="B396" s="52"/>
      <c r="C396" s="51"/>
      <c r="D396" s="52"/>
      <c r="E396" s="52"/>
      <c r="F396" s="50"/>
    </row>
    <row r="397" spans="1:7" ht="22.5">
      <c r="A397" s="35"/>
      <c r="B397" s="52"/>
      <c r="C397" s="51"/>
      <c r="D397" s="52"/>
      <c r="E397" s="52"/>
      <c r="F397" s="50"/>
    </row>
    <row r="398" spans="1:7" ht="22.5">
      <c r="A398" s="35"/>
      <c r="B398" s="52"/>
      <c r="C398" s="51"/>
      <c r="D398" s="52"/>
      <c r="E398" s="52"/>
      <c r="F398" s="50"/>
    </row>
    <row r="399" spans="1:7" ht="22.5">
      <c r="A399" s="35"/>
      <c r="B399" s="52"/>
      <c r="C399" s="51"/>
      <c r="D399" s="52"/>
      <c r="E399" s="52"/>
      <c r="F399" s="50"/>
    </row>
    <row r="400" spans="1:7" ht="22.5">
      <c r="A400" s="35"/>
      <c r="B400" s="52"/>
      <c r="C400" s="51"/>
      <c r="D400" s="52"/>
      <c r="E400" s="52"/>
      <c r="F400" s="50"/>
    </row>
    <row r="401" spans="1:6" ht="23.25" thickBot="1">
      <c r="A401" s="55"/>
      <c r="B401" s="56"/>
      <c r="C401" s="57">
        <f>+C392</f>
        <v>324</v>
      </c>
      <c r="D401" s="58">
        <f>+D392</f>
        <v>29</v>
      </c>
      <c r="E401" s="59">
        <f>+E393</f>
        <v>324</v>
      </c>
      <c r="F401" s="60">
        <f>+F393</f>
        <v>29</v>
      </c>
    </row>
    <row r="402" spans="1:6" ht="23.25" thickTop="1">
      <c r="A402" s="22"/>
      <c r="B402" s="22"/>
      <c r="C402" s="22"/>
      <c r="D402" s="22"/>
      <c r="E402" s="22"/>
      <c r="F402" s="22"/>
    </row>
    <row r="403" spans="1:6" ht="22.5">
      <c r="A403" s="22" t="s">
        <v>147</v>
      </c>
      <c r="B403" s="22"/>
      <c r="C403" s="22"/>
      <c r="D403" s="22"/>
      <c r="E403" s="22"/>
      <c r="F403" s="22"/>
    </row>
    <row r="404" spans="1:6" ht="22.5">
      <c r="A404" s="22"/>
      <c r="B404" s="22"/>
      <c r="C404" s="22"/>
      <c r="D404" s="22"/>
      <c r="E404" s="22"/>
      <c r="F404" s="22"/>
    </row>
    <row r="405" spans="1:6" ht="22.5">
      <c r="A405" s="22"/>
      <c r="B405" s="22"/>
      <c r="C405" s="22"/>
      <c r="D405" s="22"/>
      <c r="E405" s="22"/>
      <c r="F405" s="22"/>
    </row>
    <row r="406" spans="1:6" ht="22.5">
      <c r="A406" s="22"/>
      <c r="B406" s="22"/>
      <c r="C406" s="22"/>
      <c r="D406" s="22"/>
      <c r="E406" s="22"/>
      <c r="F406" s="22"/>
    </row>
    <row r="407" spans="1:6" ht="22.5">
      <c r="A407" s="22"/>
      <c r="B407" s="22"/>
      <c r="C407" s="22"/>
      <c r="D407" s="22"/>
      <c r="E407" s="22"/>
      <c r="F407" s="22"/>
    </row>
    <row r="408" spans="1:6" ht="22.5">
      <c r="A408" s="22"/>
      <c r="B408" s="22"/>
      <c r="C408" s="22"/>
      <c r="D408" s="22"/>
      <c r="E408" s="22"/>
      <c r="F408" s="22"/>
    </row>
    <row r="409" spans="1:6" ht="22.5">
      <c r="A409" s="22"/>
      <c r="B409" s="22"/>
      <c r="C409" s="22"/>
      <c r="D409" s="22"/>
      <c r="E409" s="22"/>
      <c r="F409" s="22"/>
    </row>
    <row r="410" spans="1:6" ht="22.5">
      <c r="A410" s="22"/>
      <c r="B410" s="22"/>
      <c r="C410" s="22"/>
      <c r="D410" s="22"/>
      <c r="E410" s="22"/>
      <c r="F410" s="22"/>
    </row>
    <row r="411" spans="1:6" ht="22.5">
      <c r="A411" s="61" t="s">
        <v>108</v>
      </c>
      <c r="B411" s="320" t="s">
        <v>109</v>
      </c>
      <c r="C411" s="321"/>
      <c r="D411" s="320" t="s">
        <v>110</v>
      </c>
      <c r="E411" s="322"/>
      <c r="F411" s="321"/>
    </row>
    <row r="412" spans="1:6" ht="22.5">
      <c r="A412" s="64"/>
      <c r="B412" s="64"/>
      <c r="C412" s="54"/>
      <c r="D412" s="63"/>
      <c r="E412" s="63"/>
      <c r="F412" s="54"/>
    </row>
    <row r="413" spans="1:6" ht="22.5">
      <c r="A413" s="64"/>
      <c r="B413" s="64"/>
      <c r="C413" s="54"/>
      <c r="D413" s="63"/>
      <c r="E413" s="63"/>
      <c r="F413" s="54"/>
    </row>
    <row r="414" spans="1:6" ht="22.5">
      <c r="A414" s="64"/>
      <c r="B414" s="64"/>
      <c r="C414" s="54"/>
      <c r="D414" s="63"/>
      <c r="E414" s="63"/>
      <c r="F414" s="54"/>
    </row>
    <row r="415" spans="1:6" ht="22.5">
      <c r="A415" s="64" t="s">
        <v>111</v>
      </c>
      <c r="B415" s="312" t="s">
        <v>112</v>
      </c>
      <c r="C415" s="313"/>
      <c r="D415" s="312" t="s">
        <v>113</v>
      </c>
      <c r="E415" s="314"/>
      <c r="F415" s="313"/>
    </row>
    <row r="416" spans="1:6" ht="22.5">
      <c r="A416" s="65" t="s">
        <v>114</v>
      </c>
      <c r="B416" s="315" t="s">
        <v>115</v>
      </c>
      <c r="C416" s="316"/>
      <c r="D416" s="315" t="s">
        <v>114</v>
      </c>
      <c r="E416" s="317"/>
      <c r="F416" s="316"/>
    </row>
    <row r="417" spans="1:7" ht="22.5">
      <c r="A417" s="22"/>
      <c r="B417" s="22"/>
      <c r="C417" s="22"/>
      <c r="D417" s="318" t="s">
        <v>104</v>
      </c>
      <c r="E417" s="318"/>
      <c r="F417" s="318"/>
      <c r="G417">
        <v>14</v>
      </c>
    </row>
    <row r="418" spans="1:7" ht="22.5">
      <c r="A418" s="22"/>
      <c r="B418" s="22"/>
      <c r="C418" s="22"/>
      <c r="D418" s="318" t="s">
        <v>131</v>
      </c>
      <c r="E418" s="318"/>
      <c r="F418" s="318"/>
    </row>
    <row r="419" spans="1:7" ht="22.5">
      <c r="A419" s="22"/>
      <c r="B419" s="22"/>
      <c r="C419" s="22"/>
      <c r="D419" s="22"/>
      <c r="E419" s="22"/>
      <c r="F419" s="22"/>
    </row>
    <row r="420" spans="1:7" ht="26.25">
      <c r="A420" s="319" t="s">
        <v>105</v>
      </c>
      <c r="B420" s="314"/>
      <c r="C420" s="314"/>
      <c r="D420" s="314"/>
      <c r="E420" s="314"/>
      <c r="F420" s="314"/>
    </row>
    <row r="421" spans="1:7" s="305" customFormat="1" ht="22.5">
      <c r="A421" s="268"/>
      <c r="B421" s="268"/>
      <c r="C421" s="268"/>
      <c r="D421" s="268"/>
      <c r="E421" s="268"/>
      <c r="F421" s="268"/>
    </row>
    <row r="422" spans="1:7" ht="22.5">
      <c r="A422" s="22" t="s">
        <v>106</v>
      </c>
      <c r="B422" s="22"/>
      <c r="C422" s="22"/>
      <c r="D422" s="22"/>
      <c r="E422" s="22"/>
      <c r="F422" s="22"/>
    </row>
    <row r="423" spans="1:7" ht="22.5">
      <c r="A423" s="45" t="s">
        <v>2</v>
      </c>
      <c r="B423" s="25" t="s">
        <v>107</v>
      </c>
      <c r="C423" s="309" t="s">
        <v>10</v>
      </c>
      <c r="D423" s="307"/>
      <c r="E423" s="309" t="s">
        <v>96</v>
      </c>
      <c r="F423" s="307"/>
    </row>
    <row r="424" spans="1:7" ht="22.5">
      <c r="A424" s="35" t="s">
        <v>146</v>
      </c>
      <c r="B424" s="46">
        <v>110201</v>
      </c>
      <c r="C424" s="47">
        <v>15000</v>
      </c>
      <c r="D424" s="48" t="s">
        <v>127</v>
      </c>
      <c r="E424" s="49"/>
      <c r="F424" s="50"/>
    </row>
    <row r="425" spans="1:7" ht="22.5">
      <c r="A425" s="35" t="s">
        <v>629</v>
      </c>
      <c r="B425" s="46">
        <v>230199</v>
      </c>
      <c r="C425" s="51"/>
      <c r="D425" s="52"/>
      <c r="E425" s="53">
        <f>+C424</f>
        <v>15000</v>
      </c>
      <c r="F425" s="54" t="str">
        <f>+D424</f>
        <v xml:space="preserve"> -</v>
      </c>
    </row>
    <row r="426" spans="1:7" ht="22.5">
      <c r="A426" s="35"/>
      <c r="B426" s="52"/>
      <c r="C426" s="51"/>
      <c r="D426" s="52"/>
      <c r="E426" s="52"/>
      <c r="F426" s="50"/>
    </row>
    <row r="427" spans="1:7" ht="22.5">
      <c r="A427" s="35"/>
      <c r="B427" s="52"/>
      <c r="C427" s="51"/>
      <c r="D427" s="52"/>
      <c r="E427" s="52"/>
      <c r="F427" s="50"/>
    </row>
    <row r="428" spans="1:7" ht="22.5">
      <c r="A428" s="35"/>
      <c r="B428" s="52"/>
      <c r="C428" s="51"/>
      <c r="D428" s="52"/>
      <c r="E428" s="52"/>
      <c r="F428" s="50"/>
    </row>
    <row r="429" spans="1:7" ht="22.5">
      <c r="A429" s="35"/>
      <c r="B429" s="52"/>
      <c r="C429" s="51"/>
      <c r="D429" s="52"/>
      <c r="E429" s="52"/>
      <c r="F429" s="50"/>
    </row>
    <row r="430" spans="1:7" ht="22.5">
      <c r="A430" s="35"/>
      <c r="B430" s="52"/>
      <c r="C430" s="51"/>
      <c r="D430" s="52"/>
      <c r="E430" s="52"/>
      <c r="F430" s="50"/>
    </row>
    <row r="431" spans="1:7" ht="22.5">
      <c r="A431" s="35"/>
      <c r="B431" s="52"/>
      <c r="C431" s="51"/>
      <c r="D431" s="52"/>
      <c r="E431" s="52"/>
      <c r="F431" s="50"/>
    </row>
    <row r="432" spans="1:7" ht="22.5">
      <c r="A432" s="35"/>
      <c r="B432" s="52"/>
      <c r="C432" s="51"/>
      <c r="D432" s="52"/>
      <c r="E432" s="52"/>
      <c r="F432" s="50"/>
    </row>
    <row r="433" spans="1:6" ht="23.25" thickBot="1">
      <c r="A433" s="55"/>
      <c r="B433" s="56"/>
      <c r="C433" s="57">
        <f>+C424</f>
        <v>15000</v>
      </c>
      <c r="D433" s="58" t="str">
        <f>+D424</f>
        <v xml:space="preserve"> -</v>
      </c>
      <c r="E433" s="59">
        <f>+E425</f>
        <v>15000</v>
      </c>
      <c r="F433" s="60" t="str">
        <f>+F425</f>
        <v xml:space="preserve"> -</v>
      </c>
    </row>
    <row r="434" spans="1:6" ht="23.25" thickTop="1">
      <c r="A434" s="22"/>
      <c r="B434" s="22"/>
      <c r="C434" s="22"/>
      <c r="D434" s="22"/>
      <c r="E434" s="22"/>
      <c r="F434" s="22"/>
    </row>
    <row r="435" spans="1:6" ht="22.5">
      <c r="A435" s="22" t="s">
        <v>148</v>
      </c>
      <c r="B435" s="22"/>
      <c r="C435" s="22"/>
      <c r="D435" s="22"/>
      <c r="E435" s="22"/>
      <c r="F435" s="22"/>
    </row>
    <row r="436" spans="1:6" ht="22.5">
      <c r="A436" s="22"/>
      <c r="B436" s="22"/>
      <c r="C436" s="22"/>
      <c r="D436" s="22"/>
      <c r="E436" s="22"/>
      <c r="F436" s="22"/>
    </row>
    <row r="437" spans="1:6" ht="22.5">
      <c r="A437" s="22"/>
      <c r="B437" s="22"/>
      <c r="C437" s="22"/>
      <c r="D437" s="22"/>
      <c r="E437" s="22"/>
      <c r="F437" s="22"/>
    </row>
    <row r="438" spans="1:6" ht="22.5">
      <c r="A438" s="22"/>
      <c r="B438" s="22"/>
      <c r="C438" s="22"/>
      <c r="D438" s="22"/>
      <c r="E438" s="22"/>
      <c r="F438" s="22"/>
    </row>
    <row r="439" spans="1:6" ht="22.5">
      <c r="A439" s="22"/>
      <c r="B439" s="22"/>
      <c r="C439" s="22"/>
      <c r="D439" s="22"/>
      <c r="E439" s="22"/>
      <c r="F439" s="22"/>
    </row>
    <row r="440" spans="1:6" ht="22.5">
      <c r="A440" s="22"/>
      <c r="B440" s="22"/>
      <c r="C440" s="22"/>
      <c r="D440" s="22"/>
      <c r="E440" s="22"/>
      <c r="F440" s="22"/>
    </row>
    <row r="441" spans="1:6" ht="22.5">
      <c r="A441" s="22"/>
      <c r="B441" s="22"/>
      <c r="C441" s="22"/>
      <c r="D441" s="22"/>
      <c r="E441" s="22"/>
      <c r="F441" s="22"/>
    </row>
    <row r="442" spans="1:6" ht="22.5">
      <c r="A442" s="22"/>
      <c r="B442" s="22"/>
      <c r="C442" s="22"/>
      <c r="D442" s="22"/>
      <c r="E442" s="22"/>
      <c r="F442" s="22"/>
    </row>
    <row r="443" spans="1:6" ht="22.5">
      <c r="A443" s="61" t="s">
        <v>108</v>
      </c>
      <c r="B443" s="320" t="s">
        <v>109</v>
      </c>
      <c r="C443" s="321"/>
      <c r="D443" s="320" t="s">
        <v>110</v>
      </c>
      <c r="E443" s="322"/>
      <c r="F443" s="321"/>
    </row>
    <row r="444" spans="1:6" ht="22.5">
      <c r="A444" s="64"/>
      <c r="B444" s="64"/>
      <c r="C444" s="54"/>
      <c r="D444" s="63"/>
      <c r="E444" s="63"/>
      <c r="F444" s="54"/>
    </row>
    <row r="445" spans="1:6" ht="22.5">
      <c r="A445" s="64"/>
      <c r="B445" s="64"/>
      <c r="C445" s="54"/>
      <c r="D445" s="63"/>
      <c r="E445" s="63"/>
      <c r="F445" s="54"/>
    </row>
    <row r="446" spans="1:6" ht="22.5">
      <c r="A446" s="64"/>
      <c r="B446" s="64"/>
      <c r="C446" s="54"/>
      <c r="D446" s="63"/>
      <c r="E446" s="63"/>
      <c r="F446" s="54"/>
    </row>
    <row r="447" spans="1:6" ht="22.5">
      <c r="A447" s="64" t="s">
        <v>111</v>
      </c>
      <c r="B447" s="312" t="s">
        <v>112</v>
      </c>
      <c r="C447" s="313"/>
      <c r="D447" s="312" t="s">
        <v>113</v>
      </c>
      <c r="E447" s="314"/>
      <c r="F447" s="313"/>
    </row>
    <row r="448" spans="1:6" ht="22.5">
      <c r="A448" s="65" t="s">
        <v>114</v>
      </c>
      <c r="B448" s="315" t="s">
        <v>115</v>
      </c>
      <c r="C448" s="316"/>
      <c r="D448" s="315" t="s">
        <v>114</v>
      </c>
      <c r="E448" s="317"/>
      <c r="F448" s="316"/>
    </row>
    <row r="449" spans="1:7" ht="22.5">
      <c r="A449" s="22"/>
      <c r="B449" s="22"/>
      <c r="C449" s="22"/>
      <c r="D449" s="318" t="s">
        <v>104</v>
      </c>
      <c r="E449" s="318"/>
      <c r="F449" s="318"/>
      <c r="G449">
        <v>15</v>
      </c>
    </row>
    <row r="450" spans="1:7" ht="22.5">
      <c r="A450" s="22"/>
      <c r="B450" s="22"/>
      <c r="C450" s="22"/>
      <c r="D450" s="318" t="s">
        <v>149</v>
      </c>
      <c r="E450" s="318"/>
      <c r="F450" s="318"/>
    </row>
    <row r="451" spans="1:7" ht="22.5">
      <c r="A451" s="22"/>
      <c r="B451" s="22"/>
      <c r="C451" s="22"/>
      <c r="D451" s="22"/>
      <c r="E451" s="22"/>
      <c r="F451" s="22"/>
    </row>
    <row r="452" spans="1:7" ht="26.25">
      <c r="A452" s="319" t="s">
        <v>105</v>
      </c>
      <c r="B452" s="314"/>
      <c r="C452" s="314"/>
      <c r="D452" s="314"/>
      <c r="E452" s="314"/>
      <c r="F452" s="314"/>
    </row>
    <row r="453" spans="1:7" ht="22.5">
      <c r="A453" s="22"/>
      <c r="B453" s="22"/>
      <c r="C453" s="22"/>
      <c r="D453" s="22"/>
      <c r="E453" s="22"/>
      <c r="F453" s="22"/>
    </row>
    <row r="454" spans="1:7" ht="22.5">
      <c r="A454" s="22" t="s">
        <v>106</v>
      </c>
      <c r="B454" s="22"/>
      <c r="C454" s="22"/>
      <c r="D454" s="22"/>
      <c r="E454" s="22"/>
      <c r="F454" s="22"/>
    </row>
    <row r="455" spans="1:7" ht="22.5">
      <c r="A455" s="45" t="s">
        <v>2</v>
      </c>
      <c r="B455" s="25" t="s">
        <v>107</v>
      </c>
      <c r="C455" s="309" t="s">
        <v>10</v>
      </c>
      <c r="D455" s="307"/>
      <c r="E455" s="309" t="s">
        <v>96</v>
      </c>
      <c r="F455" s="307"/>
    </row>
    <row r="456" spans="1:7" ht="22.5">
      <c r="A456" s="35" t="s">
        <v>146</v>
      </c>
      <c r="B456" s="46">
        <v>110201</v>
      </c>
      <c r="C456" s="47">
        <v>150562</v>
      </c>
      <c r="D456" s="48">
        <v>50</v>
      </c>
      <c r="E456" s="49"/>
      <c r="F456" s="50"/>
    </row>
    <row r="457" spans="1:7" ht="22.5">
      <c r="A457" s="35" t="s">
        <v>629</v>
      </c>
      <c r="B457" s="46">
        <v>230199</v>
      </c>
      <c r="C457" s="51"/>
      <c r="D457" s="52"/>
      <c r="E457" s="53">
        <f>+C456</f>
        <v>150562</v>
      </c>
      <c r="F457" s="54">
        <f>+D456</f>
        <v>50</v>
      </c>
    </row>
    <row r="458" spans="1:7" ht="22.5">
      <c r="A458" s="35"/>
      <c r="B458" s="52"/>
      <c r="C458" s="51"/>
      <c r="D458" s="52"/>
      <c r="E458" s="52"/>
      <c r="F458" s="50"/>
    </row>
    <row r="459" spans="1:7" ht="22.5">
      <c r="A459" s="35"/>
      <c r="B459" s="52"/>
      <c r="C459" s="51"/>
      <c r="D459" s="52"/>
      <c r="E459" s="52"/>
      <c r="F459" s="50"/>
    </row>
    <row r="460" spans="1:7" ht="22.5">
      <c r="A460" s="35"/>
      <c r="B460" s="52"/>
      <c r="C460" s="51"/>
      <c r="D460" s="52"/>
      <c r="E460" s="52"/>
      <c r="F460" s="50"/>
    </row>
    <row r="461" spans="1:7" ht="22.5">
      <c r="A461" s="35"/>
      <c r="B461" s="52"/>
      <c r="C461" s="51"/>
      <c r="D461" s="52"/>
      <c r="E461" s="52"/>
      <c r="F461" s="50"/>
    </row>
    <row r="462" spans="1:7" ht="22.5">
      <c r="A462" s="35"/>
      <c r="B462" s="52"/>
      <c r="C462" s="51"/>
      <c r="D462" s="52"/>
      <c r="E462" s="52"/>
      <c r="F462" s="50"/>
    </row>
    <row r="463" spans="1:7" ht="22.5">
      <c r="A463" s="35"/>
      <c r="B463" s="52"/>
      <c r="C463" s="51"/>
      <c r="D463" s="52"/>
      <c r="E463" s="52"/>
      <c r="F463" s="50"/>
    </row>
    <row r="464" spans="1:7" ht="22.5">
      <c r="A464" s="35"/>
      <c r="B464" s="52"/>
      <c r="C464" s="51"/>
      <c r="D464" s="52"/>
      <c r="E464" s="52"/>
      <c r="F464" s="50"/>
    </row>
    <row r="465" spans="1:6" ht="23.25" thickBot="1">
      <c r="A465" s="55"/>
      <c r="B465" s="56"/>
      <c r="C465" s="57">
        <f>+C456</f>
        <v>150562</v>
      </c>
      <c r="D465" s="58">
        <f>+D456</f>
        <v>50</v>
      </c>
      <c r="E465" s="59">
        <f>+E457</f>
        <v>150562</v>
      </c>
      <c r="F465" s="60">
        <f>+F457</f>
        <v>50</v>
      </c>
    </row>
    <row r="466" spans="1:6" ht="23.25" thickTop="1">
      <c r="A466" s="22"/>
      <c r="B466" s="22"/>
      <c r="C466" s="22"/>
      <c r="D466" s="22"/>
      <c r="E466" s="22"/>
      <c r="F466" s="22"/>
    </row>
    <row r="467" spans="1:6" ht="22.5">
      <c r="A467" s="22" t="s">
        <v>148</v>
      </c>
      <c r="B467" s="22"/>
      <c r="C467" s="22"/>
      <c r="D467" s="22"/>
      <c r="E467" s="22"/>
      <c r="F467" s="22"/>
    </row>
    <row r="468" spans="1:6" ht="22.5">
      <c r="A468" s="22"/>
      <c r="B468" s="22"/>
      <c r="C468" s="22"/>
      <c r="D468" s="22"/>
      <c r="E468" s="22"/>
      <c r="F468" s="22"/>
    </row>
    <row r="469" spans="1:6" ht="22.5">
      <c r="A469" s="22"/>
      <c r="B469" s="22"/>
      <c r="C469" s="22"/>
      <c r="D469" s="22"/>
      <c r="E469" s="22"/>
      <c r="F469" s="22"/>
    </row>
    <row r="470" spans="1:6" ht="22.5">
      <c r="A470" s="22"/>
      <c r="B470" s="22"/>
      <c r="C470" s="22"/>
      <c r="D470" s="22"/>
      <c r="E470" s="22"/>
      <c r="F470" s="22"/>
    </row>
    <row r="471" spans="1:6" ht="22.5">
      <c r="A471" s="22"/>
      <c r="B471" s="22"/>
      <c r="C471" s="22"/>
      <c r="D471" s="22"/>
      <c r="E471" s="22"/>
      <c r="F471" s="22"/>
    </row>
    <row r="472" spans="1:6" ht="22.5">
      <c r="A472" s="22"/>
      <c r="B472" s="22"/>
      <c r="C472" s="22"/>
      <c r="D472" s="22"/>
      <c r="E472" s="22"/>
      <c r="F472" s="22"/>
    </row>
    <row r="473" spans="1:6" ht="22.5">
      <c r="A473" s="22"/>
      <c r="B473" s="22"/>
      <c r="C473" s="22"/>
      <c r="D473" s="22"/>
      <c r="E473" s="22"/>
      <c r="F473" s="22"/>
    </row>
    <row r="474" spans="1:6" ht="22.5">
      <c r="A474" s="22"/>
      <c r="B474" s="22"/>
      <c r="C474" s="22"/>
      <c r="D474" s="22"/>
      <c r="E474" s="22"/>
      <c r="F474" s="22"/>
    </row>
    <row r="475" spans="1:6" ht="22.5">
      <c r="A475" s="61" t="s">
        <v>108</v>
      </c>
      <c r="B475" s="320" t="s">
        <v>109</v>
      </c>
      <c r="C475" s="321"/>
      <c r="D475" s="320" t="s">
        <v>110</v>
      </c>
      <c r="E475" s="322"/>
      <c r="F475" s="321"/>
    </row>
    <row r="476" spans="1:6" ht="22.5">
      <c r="A476" s="64"/>
      <c r="B476" s="64"/>
      <c r="C476" s="54"/>
      <c r="D476" s="63"/>
      <c r="E476" s="63"/>
      <c r="F476" s="54"/>
    </row>
    <row r="477" spans="1:6" ht="22.5">
      <c r="A477" s="64"/>
      <c r="B477" s="64"/>
      <c r="C477" s="54"/>
      <c r="D477" s="63"/>
      <c r="E477" s="63"/>
      <c r="F477" s="54"/>
    </row>
    <row r="478" spans="1:6" ht="22.5">
      <c r="A478" s="64"/>
      <c r="B478" s="64"/>
      <c r="C478" s="54"/>
      <c r="D478" s="63"/>
      <c r="E478" s="63"/>
      <c r="F478" s="54"/>
    </row>
    <row r="479" spans="1:6" ht="22.5">
      <c r="A479" s="64" t="s">
        <v>111</v>
      </c>
      <c r="B479" s="312" t="s">
        <v>112</v>
      </c>
      <c r="C479" s="313"/>
      <c r="D479" s="312" t="s">
        <v>113</v>
      </c>
      <c r="E479" s="314"/>
      <c r="F479" s="313"/>
    </row>
    <row r="480" spans="1:6" ht="22.5">
      <c r="A480" s="65" t="s">
        <v>114</v>
      </c>
      <c r="B480" s="315" t="s">
        <v>115</v>
      </c>
      <c r="C480" s="316"/>
      <c r="D480" s="315" t="s">
        <v>114</v>
      </c>
      <c r="E480" s="317"/>
      <c r="F480" s="316"/>
    </row>
    <row r="481" spans="1:7" ht="22.5">
      <c r="A481" s="22"/>
      <c r="B481" s="22"/>
      <c r="C481" s="22"/>
      <c r="D481" s="318" t="s">
        <v>104</v>
      </c>
      <c r="E481" s="318"/>
      <c r="F481" s="318"/>
      <c r="G481">
        <v>16</v>
      </c>
    </row>
    <row r="482" spans="1:7" ht="22.5">
      <c r="A482" s="22"/>
      <c r="B482" s="22"/>
      <c r="C482" s="22"/>
      <c r="D482" s="318" t="s">
        <v>144</v>
      </c>
      <c r="E482" s="318"/>
      <c r="F482" s="318"/>
    </row>
    <row r="483" spans="1:7" ht="22.5">
      <c r="A483" s="22"/>
      <c r="B483" s="22"/>
      <c r="C483" s="22"/>
      <c r="D483" s="22"/>
      <c r="E483" s="22"/>
      <c r="F483" s="22"/>
    </row>
    <row r="484" spans="1:7" ht="26.25">
      <c r="A484" s="319" t="s">
        <v>105</v>
      </c>
      <c r="B484" s="314"/>
      <c r="C484" s="314"/>
      <c r="D484" s="314"/>
      <c r="E484" s="314"/>
      <c r="F484" s="314"/>
    </row>
    <row r="485" spans="1:7" ht="22.5">
      <c r="A485" s="22"/>
      <c r="B485" s="22"/>
      <c r="C485" s="22"/>
      <c r="D485" s="22"/>
      <c r="E485" s="22"/>
      <c r="F485" s="22"/>
    </row>
    <row r="486" spans="1:7" ht="22.5">
      <c r="A486" s="22" t="s">
        <v>106</v>
      </c>
      <c r="B486" s="22"/>
      <c r="C486" s="22"/>
      <c r="D486" s="22"/>
      <c r="E486" s="22"/>
      <c r="F486" s="22"/>
    </row>
    <row r="487" spans="1:7" ht="22.5">
      <c r="A487" s="45" t="s">
        <v>2</v>
      </c>
      <c r="B487" s="25" t="s">
        <v>107</v>
      </c>
      <c r="C487" s="309" t="s">
        <v>10</v>
      </c>
      <c r="D487" s="307"/>
      <c r="E487" s="309" t="s">
        <v>96</v>
      </c>
      <c r="F487" s="307"/>
    </row>
    <row r="488" spans="1:7" ht="22.5">
      <c r="A488" s="35" t="s">
        <v>58</v>
      </c>
      <c r="B488" s="46">
        <v>532000</v>
      </c>
      <c r="C488" s="47">
        <v>5000</v>
      </c>
      <c r="D488" s="48" t="s">
        <v>127</v>
      </c>
      <c r="E488" s="49"/>
      <c r="F488" s="50"/>
    </row>
    <row r="489" spans="1:7" ht="22.5">
      <c r="A489" s="35" t="s">
        <v>132</v>
      </c>
      <c r="B489" s="46">
        <v>110605</v>
      </c>
      <c r="C489" s="51"/>
      <c r="D489" s="52"/>
      <c r="E489" s="53">
        <f>+C488</f>
        <v>5000</v>
      </c>
      <c r="F489" s="54" t="str">
        <f>+D488</f>
        <v xml:space="preserve"> -</v>
      </c>
    </row>
    <row r="490" spans="1:7" ht="22.5">
      <c r="A490" s="35"/>
      <c r="B490" s="52"/>
      <c r="C490" s="51"/>
      <c r="D490" s="52"/>
      <c r="E490" s="52"/>
      <c r="F490" s="50"/>
    </row>
    <row r="491" spans="1:7" ht="22.5">
      <c r="A491" s="35"/>
      <c r="B491" s="52"/>
      <c r="C491" s="51"/>
      <c r="D491" s="52"/>
      <c r="E491" s="52"/>
      <c r="F491" s="50"/>
    </row>
    <row r="492" spans="1:7" ht="22.5">
      <c r="A492" s="35"/>
      <c r="B492" s="52"/>
      <c r="C492" s="51"/>
      <c r="D492" s="52"/>
      <c r="E492" s="52"/>
      <c r="F492" s="50"/>
    </row>
    <row r="493" spans="1:7" ht="22.5">
      <c r="A493" s="35"/>
      <c r="B493" s="52"/>
      <c r="C493" s="51"/>
      <c r="D493" s="52"/>
      <c r="E493" s="52"/>
      <c r="F493" s="50"/>
    </row>
    <row r="494" spans="1:7" ht="22.5">
      <c r="A494" s="35"/>
      <c r="B494" s="52"/>
      <c r="C494" s="51"/>
      <c r="D494" s="52"/>
      <c r="E494" s="52"/>
      <c r="F494" s="50"/>
    </row>
    <row r="495" spans="1:7" ht="22.5">
      <c r="A495" s="35"/>
      <c r="B495" s="52"/>
      <c r="C495" s="51"/>
      <c r="D495" s="52"/>
      <c r="E495" s="52"/>
      <c r="F495" s="50"/>
    </row>
    <row r="496" spans="1:7" ht="22.5">
      <c r="A496" s="35"/>
      <c r="B496" s="52"/>
      <c r="C496" s="51"/>
      <c r="D496" s="52"/>
      <c r="E496" s="52"/>
      <c r="F496" s="50"/>
    </row>
    <row r="497" spans="1:6" ht="23.25" thickBot="1">
      <c r="A497" s="55"/>
      <c r="B497" s="56"/>
      <c r="C497" s="57">
        <f>+C488</f>
        <v>5000</v>
      </c>
      <c r="D497" s="58" t="str">
        <f>+D488</f>
        <v xml:space="preserve"> -</v>
      </c>
      <c r="E497" s="59">
        <f>+E489</f>
        <v>5000</v>
      </c>
      <c r="F497" s="60" t="str">
        <f>+F489</f>
        <v xml:space="preserve"> -</v>
      </c>
    </row>
    <row r="498" spans="1:6" ht="23.25" thickTop="1">
      <c r="A498" s="22"/>
      <c r="B498" s="22"/>
      <c r="C498" s="22"/>
      <c r="D498" s="22"/>
      <c r="E498" s="22"/>
      <c r="F498" s="22"/>
    </row>
    <row r="499" spans="1:6" ht="22.5">
      <c r="A499" s="22" t="s">
        <v>145</v>
      </c>
      <c r="B499" s="22"/>
      <c r="C499" s="22"/>
      <c r="D499" s="22"/>
      <c r="E499" s="22"/>
      <c r="F499" s="22"/>
    </row>
    <row r="500" spans="1:6" ht="22.5">
      <c r="A500" s="22"/>
      <c r="B500" s="22"/>
      <c r="C500" s="22"/>
      <c r="D500" s="22"/>
      <c r="E500" s="22"/>
      <c r="F500" s="22"/>
    </row>
    <row r="501" spans="1:6" ht="22.5">
      <c r="A501" s="22"/>
      <c r="B501" s="22"/>
      <c r="C501" s="22"/>
      <c r="D501" s="22"/>
      <c r="E501" s="22"/>
      <c r="F501" s="22"/>
    </row>
    <row r="502" spans="1:6" ht="22.5">
      <c r="A502" s="22"/>
      <c r="B502" s="22"/>
      <c r="C502" s="22"/>
      <c r="D502" s="22"/>
      <c r="E502" s="22"/>
      <c r="F502" s="22"/>
    </row>
    <row r="503" spans="1:6" ht="22.5">
      <c r="A503" s="22"/>
      <c r="B503" s="22"/>
      <c r="C503" s="22"/>
      <c r="D503" s="22"/>
      <c r="E503" s="22"/>
      <c r="F503" s="22"/>
    </row>
    <row r="504" spans="1:6" ht="22.5">
      <c r="A504" s="22"/>
      <c r="B504" s="22"/>
      <c r="C504" s="22"/>
      <c r="D504" s="22"/>
      <c r="E504" s="22"/>
      <c r="F504" s="22"/>
    </row>
    <row r="505" spans="1:6" ht="22.5">
      <c r="A505" s="22"/>
      <c r="B505" s="22"/>
      <c r="C505" s="22"/>
      <c r="D505" s="22"/>
      <c r="E505" s="22"/>
      <c r="F505" s="22"/>
    </row>
    <row r="506" spans="1:6" ht="22.5">
      <c r="A506" s="22"/>
      <c r="B506" s="22"/>
      <c r="C506" s="22"/>
      <c r="D506" s="22"/>
      <c r="E506" s="22"/>
      <c r="F506" s="22"/>
    </row>
    <row r="507" spans="1:6" ht="22.5">
      <c r="A507" s="61" t="s">
        <v>108</v>
      </c>
      <c r="B507" s="320" t="s">
        <v>109</v>
      </c>
      <c r="C507" s="321"/>
      <c r="D507" s="320" t="s">
        <v>110</v>
      </c>
      <c r="E507" s="322"/>
      <c r="F507" s="321"/>
    </row>
    <row r="508" spans="1:6" ht="22.5">
      <c r="A508" s="64"/>
      <c r="B508" s="64"/>
      <c r="C508" s="54"/>
      <c r="D508" s="63"/>
      <c r="E508" s="63"/>
      <c r="F508" s="54"/>
    </row>
    <row r="509" spans="1:6" ht="22.5">
      <c r="A509" s="64"/>
      <c r="B509" s="64"/>
      <c r="C509" s="54"/>
      <c r="D509" s="63"/>
      <c r="E509" s="63"/>
      <c r="F509" s="54"/>
    </row>
    <row r="510" spans="1:6" ht="22.5">
      <c r="A510" s="64"/>
      <c r="B510" s="64"/>
      <c r="C510" s="54"/>
      <c r="D510" s="63"/>
      <c r="E510" s="63"/>
      <c r="F510" s="54"/>
    </row>
    <row r="511" spans="1:6" ht="22.5">
      <c r="A511" s="64" t="s">
        <v>111</v>
      </c>
      <c r="B511" s="312" t="s">
        <v>112</v>
      </c>
      <c r="C511" s="313"/>
      <c r="D511" s="312" t="s">
        <v>113</v>
      </c>
      <c r="E511" s="314"/>
      <c r="F511" s="313"/>
    </row>
    <row r="512" spans="1:6" ht="22.5">
      <c r="A512" s="65" t="s">
        <v>114</v>
      </c>
      <c r="B512" s="315" t="s">
        <v>115</v>
      </c>
      <c r="C512" s="316"/>
      <c r="D512" s="315" t="s">
        <v>114</v>
      </c>
      <c r="E512" s="317"/>
      <c r="F512" s="316"/>
    </row>
    <row r="513" spans="1:7" ht="22.5">
      <c r="A513" s="22"/>
      <c r="B513" s="22"/>
      <c r="C513" s="22"/>
      <c r="D513" s="318" t="s">
        <v>104</v>
      </c>
      <c r="E513" s="318"/>
      <c r="F513" s="318"/>
      <c r="G513">
        <v>17</v>
      </c>
    </row>
    <row r="514" spans="1:7" ht="22.5">
      <c r="A514" s="22"/>
      <c r="B514" s="22"/>
      <c r="C514" s="22"/>
      <c r="D514" s="318" t="s">
        <v>144</v>
      </c>
      <c r="E514" s="318"/>
      <c r="F514" s="318"/>
    </row>
    <row r="515" spans="1:7" ht="22.5">
      <c r="A515" s="22"/>
      <c r="B515" s="22"/>
      <c r="C515" s="22"/>
      <c r="D515" s="22"/>
      <c r="E515" s="22"/>
      <c r="F515" s="22"/>
    </row>
    <row r="516" spans="1:7" ht="26.25">
      <c r="A516" s="319" t="s">
        <v>105</v>
      </c>
      <c r="B516" s="314"/>
      <c r="C516" s="314"/>
      <c r="D516" s="314"/>
      <c r="E516" s="314"/>
      <c r="F516" s="314"/>
    </row>
    <row r="517" spans="1:7" ht="22.5">
      <c r="A517" s="22"/>
      <c r="B517" s="22"/>
      <c r="C517" s="22"/>
      <c r="D517" s="22"/>
      <c r="E517" s="22"/>
      <c r="F517" s="22"/>
    </row>
    <row r="518" spans="1:7" ht="22.5">
      <c r="A518" s="22" t="s">
        <v>106</v>
      </c>
      <c r="B518" s="22"/>
      <c r="C518" s="22"/>
      <c r="D518" s="22"/>
      <c r="E518" s="22"/>
      <c r="F518" s="22"/>
    </row>
    <row r="519" spans="1:7" ht="22.5">
      <c r="A519" s="45" t="s">
        <v>2</v>
      </c>
      <c r="B519" s="25" t="s">
        <v>107</v>
      </c>
      <c r="C519" s="309" t="s">
        <v>10</v>
      </c>
      <c r="D519" s="307"/>
      <c r="E519" s="309" t="s">
        <v>96</v>
      </c>
      <c r="F519" s="307"/>
    </row>
    <row r="520" spans="1:7" ht="22.5">
      <c r="A520" s="35" t="s">
        <v>58</v>
      </c>
      <c r="B520" s="46">
        <v>532000</v>
      </c>
      <c r="C520" s="47">
        <v>5000</v>
      </c>
      <c r="D520" s="48" t="s">
        <v>127</v>
      </c>
      <c r="E520" s="49"/>
      <c r="F520" s="50"/>
    </row>
    <row r="521" spans="1:7" ht="22.5">
      <c r="A521" s="35" t="s">
        <v>132</v>
      </c>
      <c r="B521" s="46">
        <v>110605</v>
      </c>
      <c r="C521" s="51"/>
      <c r="D521" s="52"/>
      <c r="E521" s="53">
        <f>+C520</f>
        <v>5000</v>
      </c>
      <c r="F521" s="54" t="str">
        <f>+D520</f>
        <v xml:space="preserve"> -</v>
      </c>
    </row>
    <row r="522" spans="1:7" ht="22.5">
      <c r="A522" s="35"/>
      <c r="B522" s="52"/>
      <c r="C522" s="51"/>
      <c r="D522" s="52"/>
      <c r="E522" s="52"/>
      <c r="F522" s="50"/>
    </row>
    <row r="523" spans="1:7" ht="22.5">
      <c r="A523" s="35"/>
      <c r="B523" s="52"/>
      <c r="C523" s="51"/>
      <c r="D523" s="52"/>
      <c r="E523" s="52"/>
      <c r="F523" s="50"/>
    </row>
    <row r="524" spans="1:7" ht="22.5">
      <c r="A524" s="35"/>
      <c r="B524" s="52"/>
      <c r="C524" s="51"/>
      <c r="D524" s="52"/>
      <c r="E524" s="52"/>
      <c r="F524" s="50"/>
    </row>
    <row r="525" spans="1:7" ht="22.5">
      <c r="A525" s="35"/>
      <c r="B525" s="52"/>
      <c r="C525" s="51"/>
      <c r="D525" s="52"/>
      <c r="E525" s="52"/>
      <c r="F525" s="50"/>
    </row>
    <row r="526" spans="1:7" ht="22.5">
      <c r="A526" s="35"/>
      <c r="B526" s="52"/>
      <c r="C526" s="51"/>
      <c r="D526" s="52"/>
      <c r="E526" s="52"/>
      <c r="F526" s="50"/>
    </row>
    <row r="527" spans="1:7" ht="22.5">
      <c r="A527" s="35"/>
      <c r="B527" s="52"/>
      <c r="C527" s="51"/>
      <c r="D527" s="52"/>
      <c r="E527" s="52"/>
      <c r="F527" s="50"/>
    </row>
    <row r="528" spans="1:7" ht="22.5">
      <c r="A528" s="35"/>
      <c r="B528" s="52"/>
      <c r="C528" s="51"/>
      <c r="D528" s="52"/>
      <c r="E528" s="52"/>
      <c r="F528" s="50"/>
    </row>
    <row r="529" spans="1:6" ht="23.25" thickBot="1">
      <c r="A529" s="55"/>
      <c r="B529" s="56"/>
      <c r="C529" s="57">
        <f>+C520</f>
        <v>5000</v>
      </c>
      <c r="D529" s="58" t="str">
        <f>+D520</f>
        <v xml:space="preserve"> -</v>
      </c>
      <c r="E529" s="59">
        <f>+E521</f>
        <v>5000</v>
      </c>
      <c r="F529" s="60" t="str">
        <f>+F521</f>
        <v xml:space="preserve"> -</v>
      </c>
    </row>
    <row r="530" spans="1:6" ht="23.25" thickTop="1">
      <c r="A530" s="22"/>
      <c r="B530" s="22"/>
      <c r="C530" s="22"/>
      <c r="D530" s="22"/>
      <c r="E530" s="22"/>
      <c r="F530" s="22"/>
    </row>
    <row r="531" spans="1:6" ht="22.5">
      <c r="A531" s="22" t="s">
        <v>145</v>
      </c>
      <c r="B531" s="22"/>
      <c r="C531" s="22"/>
      <c r="D531" s="22"/>
      <c r="E531" s="22"/>
      <c r="F531" s="22"/>
    </row>
    <row r="532" spans="1:6" ht="22.5">
      <c r="A532" s="22"/>
      <c r="B532" s="22"/>
      <c r="C532" s="22"/>
      <c r="D532" s="22"/>
      <c r="E532" s="22"/>
      <c r="F532" s="22"/>
    </row>
    <row r="533" spans="1:6" ht="22.5">
      <c r="A533" s="22"/>
      <c r="B533" s="22"/>
      <c r="C533" s="22"/>
      <c r="D533" s="22"/>
      <c r="E533" s="22"/>
      <c r="F533" s="22"/>
    </row>
    <row r="534" spans="1:6" ht="22.5">
      <c r="A534" s="22"/>
      <c r="B534" s="22"/>
      <c r="C534" s="22"/>
      <c r="D534" s="22"/>
      <c r="E534" s="22"/>
      <c r="F534" s="22"/>
    </row>
    <row r="535" spans="1:6" ht="22.5">
      <c r="A535" s="22"/>
      <c r="B535" s="22"/>
      <c r="C535" s="22"/>
      <c r="D535" s="22"/>
      <c r="E535" s="22"/>
      <c r="F535" s="22"/>
    </row>
    <row r="536" spans="1:6" ht="22.5">
      <c r="A536" s="22"/>
      <c r="B536" s="22"/>
      <c r="C536" s="22"/>
      <c r="D536" s="22"/>
      <c r="E536" s="22"/>
      <c r="F536" s="22"/>
    </row>
    <row r="537" spans="1:6" ht="22.5">
      <c r="A537" s="22"/>
      <c r="B537" s="22"/>
      <c r="C537" s="22"/>
      <c r="D537" s="22"/>
      <c r="E537" s="22"/>
      <c r="F537" s="22"/>
    </row>
    <row r="538" spans="1:6" ht="22.5">
      <c r="A538" s="22"/>
      <c r="B538" s="22"/>
      <c r="C538" s="22"/>
      <c r="D538" s="22"/>
      <c r="E538" s="22"/>
      <c r="F538" s="22"/>
    </row>
    <row r="539" spans="1:6" ht="22.5">
      <c r="A539" s="61" t="s">
        <v>108</v>
      </c>
      <c r="B539" s="320" t="s">
        <v>109</v>
      </c>
      <c r="C539" s="321"/>
      <c r="D539" s="320" t="s">
        <v>110</v>
      </c>
      <c r="E539" s="322"/>
      <c r="F539" s="321"/>
    </row>
    <row r="540" spans="1:6" ht="22.5">
      <c r="A540" s="64"/>
      <c r="B540" s="64"/>
      <c r="C540" s="54"/>
      <c r="D540" s="63"/>
      <c r="E540" s="63"/>
      <c r="F540" s="54"/>
    </row>
    <row r="541" spans="1:6" ht="22.5">
      <c r="A541" s="64"/>
      <c r="B541" s="64"/>
      <c r="C541" s="54"/>
      <c r="D541" s="63"/>
      <c r="E541" s="63"/>
      <c r="F541" s="54"/>
    </row>
    <row r="542" spans="1:6" ht="22.5">
      <c r="A542" s="64"/>
      <c r="B542" s="64"/>
      <c r="C542" s="54"/>
      <c r="D542" s="63"/>
      <c r="E542" s="63"/>
      <c r="F542" s="54"/>
    </row>
    <row r="543" spans="1:6" ht="22.5">
      <c r="A543" s="64" t="s">
        <v>111</v>
      </c>
      <c r="B543" s="312" t="s">
        <v>112</v>
      </c>
      <c r="C543" s="313"/>
      <c r="D543" s="312" t="s">
        <v>113</v>
      </c>
      <c r="E543" s="314"/>
      <c r="F543" s="313"/>
    </row>
    <row r="544" spans="1:6" ht="22.5">
      <c r="A544" s="65" t="s">
        <v>114</v>
      </c>
      <c r="B544" s="315" t="s">
        <v>115</v>
      </c>
      <c r="C544" s="316"/>
      <c r="D544" s="315" t="s">
        <v>114</v>
      </c>
      <c r="E544" s="317"/>
      <c r="F544" s="316"/>
    </row>
    <row r="545" spans="1:7" ht="22.5">
      <c r="A545" s="22"/>
      <c r="B545" s="22"/>
      <c r="C545" s="22"/>
      <c r="D545" s="318" t="s">
        <v>104</v>
      </c>
      <c r="E545" s="318"/>
      <c r="F545" s="318"/>
      <c r="G545">
        <v>18</v>
      </c>
    </row>
    <row r="546" spans="1:7" ht="22.5">
      <c r="A546" s="22"/>
      <c r="B546" s="22"/>
      <c r="C546" s="22"/>
      <c r="D546" s="318" t="s">
        <v>131</v>
      </c>
      <c r="E546" s="318"/>
      <c r="F546" s="318"/>
    </row>
    <row r="547" spans="1:7" ht="22.5">
      <c r="A547" s="22"/>
      <c r="B547" s="22"/>
      <c r="C547" s="22"/>
      <c r="D547" s="22"/>
      <c r="E547" s="22"/>
      <c r="F547" s="22"/>
    </row>
    <row r="548" spans="1:7" ht="26.25">
      <c r="A548" s="319" t="s">
        <v>105</v>
      </c>
      <c r="B548" s="314"/>
      <c r="C548" s="314"/>
      <c r="D548" s="314"/>
      <c r="E548" s="314"/>
      <c r="F548" s="314"/>
    </row>
    <row r="549" spans="1:7" ht="22.5">
      <c r="A549" s="22"/>
      <c r="B549" s="22"/>
      <c r="C549" s="22"/>
      <c r="D549" s="22"/>
      <c r="E549" s="22"/>
      <c r="F549" s="22"/>
    </row>
    <row r="550" spans="1:7" ht="22.5">
      <c r="A550" s="22" t="s">
        <v>106</v>
      </c>
      <c r="B550" s="22"/>
      <c r="C550" s="22"/>
      <c r="D550" s="22"/>
      <c r="E550" s="22"/>
      <c r="F550" s="22"/>
    </row>
    <row r="551" spans="1:7" ht="22.5">
      <c r="A551" s="67" t="s">
        <v>2</v>
      </c>
      <c r="B551" s="25" t="s">
        <v>107</v>
      </c>
      <c r="C551" s="309" t="s">
        <v>10</v>
      </c>
      <c r="D551" s="307"/>
      <c r="E551" s="309" t="s">
        <v>96</v>
      </c>
      <c r="F551" s="307"/>
    </row>
    <row r="552" spans="1:7" ht="22.5">
      <c r="A552" s="35" t="s">
        <v>191</v>
      </c>
      <c r="B552" s="46">
        <v>441002</v>
      </c>
      <c r="C552" s="47">
        <v>3600</v>
      </c>
      <c r="D552" s="48" t="s">
        <v>127</v>
      </c>
      <c r="E552" s="49"/>
      <c r="F552" s="50"/>
    </row>
    <row r="553" spans="1:7" ht="22.5">
      <c r="A553" s="35" t="s">
        <v>218</v>
      </c>
      <c r="B553" s="46">
        <v>110203</v>
      </c>
      <c r="C553" s="51"/>
      <c r="D553" s="52"/>
      <c r="E553" s="53">
        <f>+C552</f>
        <v>3600</v>
      </c>
      <c r="F553" s="54" t="str">
        <f>+D552</f>
        <v xml:space="preserve"> -</v>
      </c>
    </row>
    <row r="554" spans="1:7" ht="22.5">
      <c r="A554" s="35"/>
      <c r="B554" s="52"/>
      <c r="C554" s="51"/>
      <c r="D554" s="52"/>
      <c r="E554" s="52"/>
      <c r="F554" s="50"/>
    </row>
    <row r="555" spans="1:7" ht="22.5">
      <c r="A555" s="35"/>
      <c r="B555" s="52"/>
      <c r="C555" s="51"/>
      <c r="D555" s="52"/>
      <c r="E555" s="52"/>
      <c r="F555" s="50"/>
    </row>
    <row r="556" spans="1:7" ht="22.5">
      <c r="A556" s="35"/>
      <c r="B556" s="52"/>
      <c r="C556" s="51"/>
      <c r="D556" s="52"/>
      <c r="E556" s="52"/>
      <c r="F556" s="50"/>
    </row>
    <row r="557" spans="1:7" ht="22.5">
      <c r="A557" s="35"/>
      <c r="B557" s="52"/>
      <c r="C557" s="51"/>
      <c r="D557" s="52"/>
      <c r="E557" s="52"/>
      <c r="F557" s="50"/>
    </row>
    <row r="558" spans="1:7" ht="22.5">
      <c r="A558" s="35"/>
      <c r="B558" s="52"/>
      <c r="C558" s="51"/>
      <c r="D558" s="52"/>
      <c r="E558" s="52"/>
      <c r="F558" s="50"/>
    </row>
    <row r="559" spans="1:7" ht="22.5">
      <c r="A559" s="35"/>
      <c r="B559" s="52"/>
      <c r="C559" s="51"/>
      <c r="D559" s="52"/>
      <c r="E559" s="52"/>
      <c r="F559" s="50"/>
    </row>
    <row r="560" spans="1:7" ht="22.5">
      <c r="A560" s="35"/>
      <c r="B560" s="52"/>
      <c r="C560" s="51"/>
      <c r="D560" s="52"/>
      <c r="E560" s="52"/>
      <c r="F560" s="50"/>
    </row>
    <row r="561" spans="1:6" ht="23.25" thickBot="1">
      <c r="A561" s="55"/>
      <c r="B561" s="56"/>
      <c r="C561" s="57">
        <f>+C552</f>
        <v>3600</v>
      </c>
      <c r="D561" s="58" t="str">
        <f>+D552</f>
        <v xml:space="preserve"> -</v>
      </c>
      <c r="E561" s="59">
        <f>+E553</f>
        <v>3600</v>
      </c>
      <c r="F561" s="60" t="str">
        <f>+F553</f>
        <v xml:space="preserve"> -</v>
      </c>
    </row>
    <row r="562" spans="1:6" ht="23.25" thickTop="1">
      <c r="A562" s="22"/>
      <c r="B562" s="22"/>
      <c r="C562" s="22"/>
      <c r="D562" s="22"/>
      <c r="E562" s="22"/>
      <c r="F562" s="22"/>
    </row>
    <row r="563" spans="1:6" ht="22.5">
      <c r="A563" s="22" t="s">
        <v>219</v>
      </c>
      <c r="B563" s="22"/>
      <c r="C563" s="22"/>
      <c r="D563" s="22"/>
      <c r="E563" s="22"/>
      <c r="F563" s="22"/>
    </row>
    <row r="564" spans="1:6" ht="22.5">
      <c r="A564" s="22"/>
      <c r="B564" s="22"/>
      <c r="C564" s="22"/>
      <c r="D564" s="22"/>
      <c r="E564" s="22"/>
      <c r="F564" s="22"/>
    </row>
    <row r="565" spans="1:6" ht="22.5">
      <c r="A565" s="22"/>
      <c r="B565" s="22"/>
      <c r="C565" s="22"/>
      <c r="D565" s="22"/>
      <c r="E565" s="22"/>
      <c r="F565" s="22"/>
    </row>
    <row r="566" spans="1:6" ht="22.5">
      <c r="A566" s="22"/>
      <c r="B566" s="22"/>
      <c r="C566" s="22"/>
      <c r="D566" s="22"/>
      <c r="E566" s="22"/>
      <c r="F566" s="22"/>
    </row>
    <row r="567" spans="1:6" ht="22.5">
      <c r="A567" s="22"/>
      <c r="B567" s="22"/>
      <c r="C567" s="22"/>
      <c r="D567" s="22"/>
      <c r="E567" s="22"/>
      <c r="F567" s="22"/>
    </row>
    <row r="568" spans="1:6" ht="22.5">
      <c r="A568" s="22"/>
      <c r="B568" s="22"/>
      <c r="C568" s="22"/>
      <c r="D568" s="22"/>
      <c r="E568" s="22"/>
      <c r="F568" s="22"/>
    </row>
    <row r="569" spans="1:6" ht="22.5">
      <c r="A569" s="22"/>
      <c r="B569" s="22"/>
      <c r="C569" s="22"/>
      <c r="D569" s="22"/>
      <c r="E569" s="22"/>
      <c r="F569" s="22"/>
    </row>
    <row r="570" spans="1:6" ht="22.5">
      <c r="A570" s="22"/>
      <c r="B570" s="22"/>
      <c r="C570" s="22"/>
      <c r="D570" s="22"/>
      <c r="E570" s="22"/>
      <c r="F570" s="22"/>
    </row>
    <row r="571" spans="1:6" ht="22.5">
      <c r="A571" s="70" t="s">
        <v>108</v>
      </c>
      <c r="B571" s="320" t="s">
        <v>109</v>
      </c>
      <c r="C571" s="321"/>
      <c r="D571" s="320" t="s">
        <v>110</v>
      </c>
      <c r="E571" s="322"/>
      <c r="F571" s="321"/>
    </row>
    <row r="572" spans="1:6" ht="22.5">
      <c r="A572" s="68"/>
      <c r="B572" s="68"/>
      <c r="C572" s="54"/>
      <c r="D572" s="63"/>
      <c r="E572" s="63"/>
      <c r="F572" s="54"/>
    </row>
    <row r="573" spans="1:6" ht="22.5">
      <c r="A573" s="68"/>
      <c r="B573" s="68"/>
      <c r="C573" s="54"/>
      <c r="D573" s="63"/>
      <c r="E573" s="63"/>
      <c r="F573" s="54"/>
    </row>
    <row r="574" spans="1:6" ht="22.5">
      <c r="A574" s="68"/>
      <c r="B574" s="68"/>
      <c r="C574" s="54"/>
      <c r="D574" s="63"/>
      <c r="E574" s="63"/>
      <c r="F574" s="54"/>
    </row>
    <row r="575" spans="1:6" ht="22.5">
      <c r="A575" s="68" t="s">
        <v>111</v>
      </c>
      <c r="B575" s="312" t="s">
        <v>112</v>
      </c>
      <c r="C575" s="313"/>
      <c r="D575" s="312" t="s">
        <v>113</v>
      </c>
      <c r="E575" s="314"/>
      <c r="F575" s="313"/>
    </row>
    <row r="576" spans="1:6" ht="22.5">
      <c r="A576" s="69" t="s">
        <v>114</v>
      </c>
      <c r="B576" s="315" t="s">
        <v>115</v>
      </c>
      <c r="C576" s="316"/>
      <c r="D576" s="315" t="s">
        <v>114</v>
      </c>
      <c r="E576" s="317"/>
      <c r="F576" s="316"/>
    </row>
    <row r="577" spans="1:7" ht="22.5">
      <c r="A577" s="22"/>
      <c r="B577" s="22"/>
      <c r="C577" s="22"/>
      <c r="D577" s="318" t="s">
        <v>104</v>
      </c>
      <c r="E577" s="318"/>
      <c r="F577" s="318"/>
      <c r="G577">
        <v>19</v>
      </c>
    </row>
    <row r="578" spans="1:7" ht="22.5">
      <c r="A578" s="22"/>
      <c r="B578" s="22"/>
      <c r="C578" s="22"/>
      <c r="D578" s="318" t="s">
        <v>295</v>
      </c>
      <c r="E578" s="318"/>
      <c r="F578" s="318"/>
    </row>
    <row r="579" spans="1:7" ht="22.5">
      <c r="A579" s="22"/>
      <c r="B579" s="22"/>
      <c r="C579" s="22"/>
      <c r="D579" s="22"/>
      <c r="E579" s="22"/>
      <c r="F579" s="22"/>
    </row>
    <row r="580" spans="1:7" ht="26.25">
      <c r="A580" s="319" t="s">
        <v>105</v>
      </c>
      <c r="B580" s="314"/>
      <c r="C580" s="314"/>
      <c r="D580" s="314"/>
      <c r="E580" s="314"/>
      <c r="F580" s="314"/>
    </row>
    <row r="581" spans="1:7" ht="22.5">
      <c r="A581" s="22"/>
      <c r="B581" s="22"/>
      <c r="C581" s="22"/>
      <c r="D581" s="22"/>
      <c r="E581" s="22"/>
      <c r="F581" s="22"/>
    </row>
    <row r="582" spans="1:7" ht="22.5">
      <c r="A582" s="22" t="s">
        <v>106</v>
      </c>
      <c r="B582" s="22"/>
      <c r="C582" s="22"/>
      <c r="D582" s="22"/>
      <c r="E582" s="22"/>
      <c r="F582" s="22"/>
    </row>
    <row r="583" spans="1:7" ht="22.5">
      <c r="A583" s="108" t="s">
        <v>2</v>
      </c>
      <c r="B583" s="25" t="s">
        <v>107</v>
      </c>
      <c r="C583" s="309" t="s">
        <v>10</v>
      </c>
      <c r="D583" s="307"/>
      <c r="E583" s="309" t="s">
        <v>96</v>
      </c>
      <c r="F583" s="307"/>
    </row>
    <row r="584" spans="1:7" ht="22.5">
      <c r="A584" s="35" t="s">
        <v>285</v>
      </c>
      <c r="B584" s="46"/>
      <c r="C584" s="47">
        <v>12570</v>
      </c>
      <c r="D584" s="48" t="s">
        <v>127</v>
      </c>
      <c r="E584" s="49"/>
      <c r="F584" s="50"/>
    </row>
    <row r="585" spans="1:7" ht="22.5">
      <c r="A585" s="35" t="s">
        <v>283</v>
      </c>
      <c r="B585" s="46"/>
      <c r="C585" s="51">
        <v>365500</v>
      </c>
      <c r="D585" s="52" t="s">
        <v>127</v>
      </c>
      <c r="E585" s="53"/>
      <c r="F585" s="54"/>
    </row>
    <row r="586" spans="1:7" ht="22.5">
      <c r="A586" s="35" t="s">
        <v>284</v>
      </c>
      <c r="B586" s="52"/>
      <c r="C586" s="51">
        <v>11640</v>
      </c>
      <c r="D586" s="52" t="s">
        <v>127</v>
      </c>
      <c r="E586" s="52"/>
      <c r="F586" s="50"/>
    </row>
    <row r="587" spans="1:7" ht="22.5">
      <c r="A587" s="35" t="s">
        <v>288</v>
      </c>
      <c r="B587" s="52"/>
      <c r="C587" s="51">
        <v>33192</v>
      </c>
      <c r="D587" s="52" t="s">
        <v>127</v>
      </c>
      <c r="E587" s="52"/>
      <c r="F587" s="50"/>
    </row>
    <row r="588" spans="1:7" ht="22.5">
      <c r="A588" s="35" t="s">
        <v>286</v>
      </c>
      <c r="B588" s="52"/>
      <c r="C588" s="51">
        <v>3528</v>
      </c>
      <c r="D588" s="52" t="s">
        <v>127</v>
      </c>
      <c r="E588" s="52"/>
      <c r="F588" s="50"/>
    </row>
    <row r="589" spans="1:7" ht="22.5">
      <c r="A589" s="35" t="s">
        <v>287</v>
      </c>
      <c r="B589" s="52"/>
      <c r="C589" s="51">
        <v>108</v>
      </c>
      <c r="D589" s="52" t="s">
        <v>127</v>
      </c>
      <c r="E589" s="52"/>
      <c r="F589" s="50"/>
    </row>
    <row r="590" spans="1:7" ht="22.5">
      <c r="A590" s="35" t="s">
        <v>291</v>
      </c>
      <c r="B590" s="52"/>
      <c r="C590" s="51">
        <v>7022</v>
      </c>
      <c r="D590" s="52" t="s">
        <v>127</v>
      </c>
      <c r="E590" s="52"/>
      <c r="F590" s="50"/>
    </row>
    <row r="591" spans="1:7" ht="22.5">
      <c r="A591" s="35" t="s">
        <v>289</v>
      </c>
      <c r="B591" s="52"/>
      <c r="C591" s="51">
        <v>5550</v>
      </c>
      <c r="D591" s="52" t="s">
        <v>127</v>
      </c>
      <c r="E591" s="52"/>
      <c r="F591" s="50"/>
    </row>
    <row r="592" spans="1:7" ht="22.5">
      <c r="A592" s="35" t="s">
        <v>290</v>
      </c>
      <c r="B592" s="52"/>
      <c r="C592" s="51">
        <v>237375</v>
      </c>
      <c r="D592" s="140" t="s">
        <v>292</v>
      </c>
      <c r="E592" s="52"/>
      <c r="F592" s="50"/>
    </row>
    <row r="593" spans="1:6" ht="22.5">
      <c r="A593" s="35" t="s">
        <v>296</v>
      </c>
      <c r="B593" s="52"/>
      <c r="C593" s="51"/>
      <c r="D593" s="140"/>
      <c r="E593" s="145">
        <v>676485</v>
      </c>
      <c r="F593" s="143" t="s">
        <v>292</v>
      </c>
    </row>
    <row r="594" spans="1:6" ht="22.5">
      <c r="A594" s="35"/>
      <c r="B594" s="52"/>
      <c r="C594" s="51"/>
      <c r="D594" s="140"/>
      <c r="E594" s="52"/>
      <c r="F594" s="50"/>
    </row>
    <row r="595" spans="1:6" ht="22.5">
      <c r="A595" s="35"/>
      <c r="B595" s="52"/>
      <c r="C595" s="51"/>
      <c r="D595" s="140"/>
      <c r="E595" s="52"/>
      <c r="F595" s="50"/>
    </row>
    <row r="596" spans="1:6" ht="22.5">
      <c r="A596" s="35"/>
      <c r="B596" s="52"/>
      <c r="C596" s="51"/>
      <c r="D596" s="52"/>
      <c r="E596" s="52"/>
      <c r="F596" s="50"/>
    </row>
    <row r="597" spans="1:6" ht="23.25" thickBot="1">
      <c r="A597" s="55"/>
      <c r="B597" s="56"/>
      <c r="C597" s="57">
        <f>SUM(C584:C596)</f>
        <v>676485</v>
      </c>
      <c r="D597" s="141" t="s">
        <v>292</v>
      </c>
      <c r="E597" s="59">
        <f>+C597</f>
        <v>676485</v>
      </c>
      <c r="F597" s="142" t="str">
        <f>+D597</f>
        <v>03</v>
      </c>
    </row>
    <row r="598" spans="1:6" ht="23.25" thickTop="1">
      <c r="A598" s="22"/>
      <c r="B598" s="22"/>
      <c r="C598" s="22"/>
      <c r="D598" s="22"/>
      <c r="E598" s="22"/>
      <c r="F598" s="22"/>
    </row>
    <row r="599" spans="1:6" ht="22.5">
      <c r="A599" s="22" t="s">
        <v>293</v>
      </c>
      <c r="B599" s="22"/>
      <c r="C599" s="22"/>
      <c r="D599" s="22"/>
      <c r="E599" s="22"/>
      <c r="F599" s="22"/>
    </row>
    <row r="600" spans="1:6" ht="22.5">
      <c r="A600" s="22" t="s">
        <v>294</v>
      </c>
      <c r="B600" s="22"/>
      <c r="C600" s="22"/>
      <c r="D600" s="22"/>
      <c r="E600" s="22"/>
      <c r="F600" s="22"/>
    </row>
    <row r="601" spans="1:6" ht="22.5">
      <c r="A601" s="22"/>
      <c r="B601" s="22"/>
      <c r="C601" s="22"/>
      <c r="D601" s="22"/>
      <c r="E601" s="22"/>
      <c r="F601" s="22"/>
    </row>
    <row r="602" spans="1:6" ht="22.5">
      <c r="A602" s="22"/>
      <c r="B602" s="22"/>
      <c r="C602" s="22"/>
      <c r="D602" s="22"/>
      <c r="E602" s="22"/>
      <c r="F602" s="22"/>
    </row>
    <row r="603" spans="1:6" ht="22.5">
      <c r="A603" s="111" t="s">
        <v>108</v>
      </c>
      <c r="B603" s="320" t="s">
        <v>109</v>
      </c>
      <c r="C603" s="321"/>
      <c r="D603" s="320" t="s">
        <v>110</v>
      </c>
      <c r="E603" s="322"/>
      <c r="F603" s="321"/>
    </row>
    <row r="604" spans="1:6" ht="22.5">
      <c r="A604" s="109"/>
      <c r="B604" s="109"/>
      <c r="C604" s="54"/>
      <c r="D604" s="63"/>
      <c r="E604" s="63"/>
      <c r="F604" s="54"/>
    </row>
    <row r="605" spans="1:6" ht="22.5">
      <c r="A605" s="109"/>
      <c r="B605" s="109"/>
      <c r="C605" s="54"/>
      <c r="D605" s="63"/>
      <c r="E605" s="63"/>
      <c r="F605" s="54"/>
    </row>
    <row r="606" spans="1:6" ht="22.5">
      <c r="A606" s="109"/>
      <c r="B606" s="109"/>
      <c r="C606" s="54"/>
      <c r="D606" s="63"/>
      <c r="E606" s="63"/>
      <c r="F606" s="54"/>
    </row>
    <row r="607" spans="1:6" ht="22.5">
      <c r="A607" s="109" t="s">
        <v>111</v>
      </c>
      <c r="B607" s="312" t="s">
        <v>112</v>
      </c>
      <c r="C607" s="313"/>
      <c r="D607" s="312" t="s">
        <v>113</v>
      </c>
      <c r="E607" s="314"/>
      <c r="F607" s="313"/>
    </row>
    <row r="608" spans="1:6" ht="22.5">
      <c r="A608" s="110" t="s">
        <v>114</v>
      </c>
      <c r="B608" s="315" t="s">
        <v>115</v>
      </c>
      <c r="C608" s="316"/>
      <c r="D608" s="315" t="s">
        <v>114</v>
      </c>
      <c r="E608" s="317"/>
      <c r="F608" s="316"/>
    </row>
    <row r="609" spans="1:7" ht="22.5">
      <c r="A609" s="22"/>
      <c r="B609" s="22"/>
      <c r="C609" s="22"/>
      <c r="D609" s="318" t="s">
        <v>104</v>
      </c>
      <c r="E609" s="318"/>
      <c r="F609" s="318"/>
      <c r="G609">
        <v>20</v>
      </c>
    </row>
    <row r="610" spans="1:7" ht="22.5">
      <c r="A610" s="22"/>
      <c r="B610" s="22"/>
      <c r="C610" s="22"/>
      <c r="D610" s="318" t="s">
        <v>295</v>
      </c>
      <c r="E610" s="318"/>
      <c r="F610" s="318"/>
    </row>
    <row r="611" spans="1:7" ht="22.5">
      <c r="A611" s="22"/>
      <c r="B611" s="22"/>
      <c r="C611" s="22"/>
      <c r="D611" s="22"/>
      <c r="E611" s="22"/>
      <c r="F611" s="22"/>
    </row>
    <row r="612" spans="1:7" ht="26.25">
      <c r="A612" s="319" t="s">
        <v>105</v>
      </c>
      <c r="B612" s="314"/>
      <c r="C612" s="314"/>
      <c r="D612" s="314"/>
      <c r="E612" s="314"/>
      <c r="F612" s="314"/>
    </row>
    <row r="613" spans="1:7" ht="22.5">
      <c r="A613" s="22"/>
      <c r="B613" s="22"/>
      <c r="C613" s="22"/>
      <c r="D613" s="22"/>
      <c r="E613" s="22"/>
      <c r="F613" s="22"/>
    </row>
    <row r="614" spans="1:7" ht="22.5">
      <c r="A614" s="22" t="s">
        <v>106</v>
      </c>
      <c r="B614" s="22"/>
      <c r="C614" s="22"/>
      <c r="D614" s="22"/>
      <c r="E614" s="22"/>
      <c r="F614" s="22"/>
    </row>
    <row r="615" spans="1:7" ht="22.5">
      <c r="A615" s="108" t="s">
        <v>2</v>
      </c>
      <c r="B615" s="25" t="s">
        <v>107</v>
      </c>
      <c r="C615" s="309" t="s">
        <v>10</v>
      </c>
      <c r="D615" s="307"/>
      <c r="E615" s="309" t="s">
        <v>96</v>
      </c>
      <c r="F615" s="307"/>
    </row>
    <row r="616" spans="1:7" ht="22.5">
      <c r="A616" s="35" t="s">
        <v>297</v>
      </c>
      <c r="B616" s="46"/>
      <c r="C616" s="47">
        <v>3600</v>
      </c>
      <c r="D616" s="48" t="s">
        <v>127</v>
      </c>
      <c r="E616" s="49"/>
      <c r="F616" s="50"/>
    </row>
    <row r="617" spans="1:7" ht="22.5">
      <c r="A617" s="35" t="s">
        <v>312</v>
      </c>
      <c r="B617" s="46"/>
      <c r="C617" s="51"/>
      <c r="D617" s="52"/>
      <c r="E617" s="53">
        <v>3600</v>
      </c>
      <c r="F617" s="54" t="s">
        <v>127</v>
      </c>
    </row>
    <row r="618" spans="1:7" ht="22.5">
      <c r="A618" s="35"/>
      <c r="B618" s="52"/>
      <c r="C618" s="51"/>
      <c r="D618" s="52"/>
      <c r="E618" s="52"/>
      <c r="F618" s="50"/>
    </row>
    <row r="619" spans="1:7" ht="22.5">
      <c r="A619" s="35"/>
      <c r="B619" s="52"/>
      <c r="C619" s="51"/>
      <c r="D619" s="52"/>
      <c r="E619" s="52"/>
      <c r="F619" s="50"/>
    </row>
    <row r="620" spans="1:7" ht="22.5">
      <c r="A620" s="35"/>
      <c r="B620" s="52"/>
      <c r="C620" s="51"/>
      <c r="D620" s="52"/>
      <c r="E620" s="52"/>
      <c r="F620" s="50"/>
    </row>
    <row r="621" spans="1:7" ht="22.5">
      <c r="A621" s="35"/>
      <c r="B621" s="52"/>
      <c r="C621" s="51"/>
      <c r="D621" s="52"/>
      <c r="E621" s="52"/>
      <c r="F621" s="50"/>
    </row>
    <row r="622" spans="1:7" ht="22.5">
      <c r="A622" s="35"/>
      <c r="B622" s="52"/>
      <c r="C622" s="51"/>
      <c r="D622" s="52"/>
      <c r="E622" s="52"/>
      <c r="F622" s="50"/>
    </row>
    <row r="623" spans="1:7" ht="22.5">
      <c r="A623" s="35"/>
      <c r="B623" s="52"/>
      <c r="C623" s="51"/>
      <c r="D623" s="52"/>
      <c r="E623" s="52"/>
      <c r="F623" s="50"/>
    </row>
    <row r="624" spans="1:7" ht="22.5">
      <c r="A624" s="35"/>
      <c r="B624" s="52"/>
      <c r="C624" s="51"/>
      <c r="D624" s="140"/>
      <c r="E624" s="52"/>
      <c r="F624" s="50"/>
    </row>
    <row r="625" spans="1:6" ht="22.5">
      <c r="A625" s="35"/>
      <c r="B625" s="52"/>
      <c r="C625" s="51"/>
      <c r="D625" s="140"/>
      <c r="E625" s="52"/>
      <c r="F625" s="50"/>
    </row>
    <row r="626" spans="1:6" ht="22.5">
      <c r="A626" s="35"/>
      <c r="B626" s="52"/>
      <c r="C626" s="51"/>
      <c r="D626" s="140"/>
      <c r="E626" s="52"/>
      <c r="F626" s="50"/>
    </row>
    <row r="627" spans="1:6" ht="22.5">
      <c r="A627" s="35"/>
      <c r="B627" s="52"/>
      <c r="C627" s="51"/>
      <c r="D627" s="140"/>
      <c r="E627" s="52"/>
      <c r="F627" s="50"/>
    </row>
    <row r="628" spans="1:6" ht="22.5">
      <c r="A628" s="35"/>
      <c r="B628" s="52"/>
      <c r="C628" s="51"/>
      <c r="D628" s="52"/>
      <c r="E628" s="52"/>
      <c r="F628" s="50"/>
    </row>
    <row r="629" spans="1:6" ht="23.25" thickBot="1">
      <c r="A629" s="55"/>
      <c r="B629" s="56"/>
      <c r="C629" s="57">
        <f>SUM(C616:C628)</f>
        <v>3600</v>
      </c>
      <c r="D629" s="141" t="s">
        <v>127</v>
      </c>
      <c r="E629" s="59">
        <f>+C629</f>
        <v>3600</v>
      </c>
      <c r="F629" s="142" t="str">
        <f>+D629</f>
        <v xml:space="preserve"> -</v>
      </c>
    </row>
    <row r="630" spans="1:6" ht="23.25" thickTop="1">
      <c r="A630" s="22"/>
      <c r="B630" s="22"/>
      <c r="C630" s="22"/>
      <c r="D630" s="22"/>
      <c r="E630" s="22"/>
      <c r="F630" s="22"/>
    </row>
    <row r="631" spans="1:6" ht="22.5">
      <c r="A631" s="22" t="s">
        <v>298</v>
      </c>
      <c r="B631" s="22"/>
      <c r="C631" s="22"/>
      <c r="D631" s="22"/>
      <c r="E631" s="22"/>
      <c r="F631" s="22"/>
    </row>
    <row r="632" spans="1:6" ht="22.5">
      <c r="A632" s="22" t="s">
        <v>294</v>
      </c>
      <c r="B632" s="22"/>
      <c r="C632" s="22"/>
      <c r="D632" s="22"/>
      <c r="E632" s="22"/>
      <c r="F632" s="22"/>
    </row>
    <row r="633" spans="1:6" ht="22.5">
      <c r="A633" s="22"/>
      <c r="B633" s="22"/>
      <c r="C633" s="22"/>
      <c r="D633" s="22"/>
      <c r="E633" s="22"/>
      <c r="F633" s="22"/>
    </row>
    <row r="634" spans="1:6" ht="22.5">
      <c r="A634" s="22"/>
      <c r="B634" s="22"/>
      <c r="C634" s="22"/>
      <c r="D634" s="22"/>
      <c r="E634" s="22"/>
      <c r="F634" s="22"/>
    </row>
    <row r="635" spans="1:6" ht="22.5">
      <c r="A635" s="111" t="s">
        <v>108</v>
      </c>
      <c r="B635" s="320" t="s">
        <v>109</v>
      </c>
      <c r="C635" s="321"/>
      <c r="D635" s="320" t="s">
        <v>110</v>
      </c>
      <c r="E635" s="322"/>
      <c r="F635" s="321"/>
    </row>
    <row r="636" spans="1:6" ht="22.5">
      <c r="A636" s="109"/>
      <c r="B636" s="109"/>
      <c r="C636" s="54"/>
      <c r="D636" s="63"/>
      <c r="E636" s="63"/>
      <c r="F636" s="54"/>
    </row>
    <row r="637" spans="1:6" ht="22.5">
      <c r="A637" s="109"/>
      <c r="B637" s="109"/>
      <c r="C637" s="54"/>
      <c r="D637" s="63"/>
      <c r="E637" s="63"/>
      <c r="F637" s="54"/>
    </row>
    <row r="638" spans="1:6" ht="22.5">
      <c r="A638" s="109"/>
      <c r="B638" s="109"/>
      <c r="C638" s="54"/>
      <c r="D638" s="63"/>
      <c r="E638" s="63"/>
      <c r="F638" s="54"/>
    </row>
    <row r="639" spans="1:6" ht="22.5">
      <c r="A639" s="109" t="s">
        <v>111</v>
      </c>
      <c r="B639" s="312" t="s">
        <v>112</v>
      </c>
      <c r="C639" s="313"/>
      <c r="D639" s="312" t="s">
        <v>113</v>
      </c>
      <c r="E639" s="314"/>
      <c r="F639" s="313"/>
    </row>
    <row r="640" spans="1:6" ht="22.5">
      <c r="A640" s="110" t="s">
        <v>114</v>
      </c>
      <c r="B640" s="315" t="s">
        <v>115</v>
      </c>
      <c r="C640" s="316"/>
      <c r="D640" s="315" t="s">
        <v>114</v>
      </c>
      <c r="E640" s="317"/>
      <c r="F640" s="316"/>
    </row>
    <row r="641" spans="1:7" ht="22.5">
      <c r="A641" s="22"/>
      <c r="B641" s="22"/>
      <c r="C641" s="22"/>
      <c r="D641" s="318" t="s">
        <v>104</v>
      </c>
      <c r="E641" s="318"/>
      <c r="F641" s="318"/>
      <c r="G641">
        <v>21</v>
      </c>
    </row>
    <row r="642" spans="1:7" ht="22.5">
      <c r="A642" s="22"/>
      <c r="B642" s="22"/>
      <c r="C642" s="22"/>
      <c r="D642" s="318" t="s">
        <v>295</v>
      </c>
      <c r="E642" s="318"/>
      <c r="F642" s="318"/>
    </row>
    <row r="643" spans="1:7" ht="22.5">
      <c r="A643" s="22"/>
      <c r="B643" s="22"/>
      <c r="C643" s="22"/>
      <c r="D643" s="22"/>
      <c r="E643" s="22"/>
      <c r="F643" s="22"/>
    </row>
    <row r="644" spans="1:7" ht="26.25">
      <c r="A644" s="319" t="s">
        <v>105</v>
      </c>
      <c r="B644" s="314"/>
      <c r="C644" s="314"/>
      <c r="D644" s="314"/>
      <c r="E644" s="314"/>
      <c r="F644" s="314"/>
    </row>
    <row r="645" spans="1:7" ht="22.5">
      <c r="A645" s="22"/>
      <c r="B645" s="22"/>
      <c r="C645" s="22"/>
      <c r="D645" s="22"/>
      <c r="E645" s="22"/>
      <c r="F645" s="22"/>
    </row>
    <row r="646" spans="1:7" ht="22.5">
      <c r="A646" s="22" t="s">
        <v>106</v>
      </c>
      <c r="B646" s="22"/>
      <c r="C646" s="22"/>
      <c r="D646" s="22"/>
      <c r="E646" s="22"/>
      <c r="F646" s="22"/>
    </row>
    <row r="647" spans="1:7" ht="22.5">
      <c r="A647" s="108" t="s">
        <v>2</v>
      </c>
      <c r="B647" s="25" t="s">
        <v>107</v>
      </c>
      <c r="C647" s="309" t="s">
        <v>10</v>
      </c>
      <c r="D647" s="307"/>
      <c r="E647" s="309" t="s">
        <v>96</v>
      </c>
      <c r="F647" s="307"/>
    </row>
    <row r="648" spans="1:7" ht="22.5">
      <c r="A648" s="35" t="s">
        <v>317</v>
      </c>
      <c r="B648" s="46"/>
      <c r="C648" s="47">
        <v>19000</v>
      </c>
      <c r="D648" s="48" t="s">
        <v>127</v>
      </c>
      <c r="E648" s="49"/>
      <c r="F648" s="50"/>
    </row>
    <row r="649" spans="1:7" ht="22.5">
      <c r="A649" s="35" t="s">
        <v>318</v>
      </c>
      <c r="B649" s="46"/>
      <c r="C649" s="155">
        <v>17600</v>
      </c>
      <c r="D649" s="156" t="s">
        <v>127</v>
      </c>
      <c r="E649" s="144"/>
      <c r="F649" s="54"/>
    </row>
    <row r="650" spans="1:7" ht="22.5">
      <c r="A650" s="35" t="s">
        <v>319</v>
      </c>
      <c r="B650" s="52"/>
      <c r="C650" s="155">
        <v>85500</v>
      </c>
      <c r="D650" s="156" t="s">
        <v>127</v>
      </c>
      <c r="E650" s="144"/>
      <c r="F650" s="50"/>
    </row>
    <row r="651" spans="1:7" ht="22.5">
      <c r="A651" s="35" t="s">
        <v>320</v>
      </c>
      <c r="B651" s="52"/>
      <c r="C651" s="155">
        <v>78900</v>
      </c>
      <c r="D651" s="156" t="s">
        <v>127</v>
      </c>
      <c r="E651" s="144"/>
      <c r="F651" s="50"/>
    </row>
    <row r="652" spans="1:7" ht="22.5">
      <c r="A652" s="35" t="s">
        <v>322</v>
      </c>
      <c r="B652" s="52"/>
      <c r="C652" s="155">
        <v>1034000</v>
      </c>
      <c r="D652" s="156" t="s">
        <v>127</v>
      </c>
      <c r="E652" s="144"/>
      <c r="F652" s="50"/>
    </row>
    <row r="653" spans="1:7" ht="22.5">
      <c r="A653" s="35" t="s">
        <v>321</v>
      </c>
      <c r="B653" s="52"/>
      <c r="C653" s="155">
        <v>171000</v>
      </c>
      <c r="D653" s="144" t="s">
        <v>127</v>
      </c>
      <c r="E653" s="144"/>
      <c r="F653" s="50"/>
    </row>
    <row r="654" spans="1:7" ht="22.5">
      <c r="A654" s="35" t="s">
        <v>323</v>
      </c>
      <c r="B654" s="52"/>
      <c r="C654" s="155">
        <v>99000</v>
      </c>
      <c r="D654" s="144" t="s">
        <v>127</v>
      </c>
      <c r="E654" s="144"/>
      <c r="F654" s="50"/>
    </row>
    <row r="655" spans="1:7" ht="22.5">
      <c r="A655" s="35" t="s">
        <v>324</v>
      </c>
      <c r="B655" s="52"/>
      <c r="C655" s="155">
        <v>99000</v>
      </c>
      <c r="D655" s="144" t="s">
        <v>127</v>
      </c>
      <c r="E655" s="144"/>
      <c r="F655" s="50"/>
    </row>
    <row r="656" spans="1:7" ht="22.5">
      <c r="A656" s="35" t="s">
        <v>324</v>
      </c>
      <c r="B656" s="52"/>
      <c r="C656" s="155">
        <v>94000</v>
      </c>
      <c r="D656" s="144" t="s">
        <v>127</v>
      </c>
      <c r="E656" s="144"/>
      <c r="F656" s="50"/>
    </row>
    <row r="657" spans="1:6" ht="22.5">
      <c r="A657" s="35" t="s">
        <v>329</v>
      </c>
      <c r="B657" s="52"/>
      <c r="C657" s="155">
        <v>158000</v>
      </c>
      <c r="D657" s="144" t="s">
        <v>127</v>
      </c>
      <c r="E657" s="144"/>
      <c r="F657" s="50"/>
    </row>
    <row r="658" spans="1:6" ht="22.5">
      <c r="A658" s="35" t="s">
        <v>325</v>
      </c>
      <c r="B658" s="52"/>
      <c r="C658" s="155"/>
      <c r="D658" s="144"/>
      <c r="E658" s="145">
        <v>1856000</v>
      </c>
      <c r="F658" s="54" t="s">
        <v>127</v>
      </c>
    </row>
    <row r="659" spans="1:6" ht="22.5">
      <c r="A659" s="35"/>
      <c r="B659" s="52"/>
      <c r="C659" s="155"/>
      <c r="D659" s="144"/>
      <c r="E659" s="144"/>
      <c r="F659" s="50"/>
    </row>
    <row r="660" spans="1:6" ht="22.5">
      <c r="A660" s="35"/>
      <c r="B660" s="52"/>
      <c r="C660" s="155"/>
      <c r="D660" s="144"/>
      <c r="E660" s="144"/>
      <c r="F660" s="50"/>
    </row>
    <row r="661" spans="1:6" ht="22.5">
      <c r="A661" s="35"/>
      <c r="B661" s="52"/>
      <c r="C661" s="155"/>
      <c r="D661" s="144"/>
      <c r="E661" s="144"/>
      <c r="F661" s="50"/>
    </row>
    <row r="662" spans="1:6" ht="23.25" thickBot="1">
      <c r="A662" s="55"/>
      <c r="B662" s="56"/>
      <c r="C662" s="57">
        <f>SUM(C648:C661)</f>
        <v>1856000</v>
      </c>
      <c r="D662" s="141" t="s">
        <v>127</v>
      </c>
      <c r="E662" s="59">
        <f>+C662</f>
        <v>1856000</v>
      </c>
      <c r="F662" s="142" t="str">
        <f>+D662</f>
        <v xml:space="preserve"> -</v>
      </c>
    </row>
    <row r="663" spans="1:6" ht="23.25" thickTop="1">
      <c r="A663" s="22"/>
      <c r="B663" s="22"/>
      <c r="C663" s="22"/>
      <c r="D663" s="22"/>
      <c r="E663" s="22"/>
      <c r="F663" s="22"/>
    </row>
    <row r="664" spans="1:6" ht="22.5">
      <c r="A664" s="22" t="s">
        <v>326</v>
      </c>
      <c r="B664" s="22"/>
      <c r="C664" s="22"/>
      <c r="D664" s="22"/>
      <c r="E664" s="22"/>
      <c r="F664" s="22"/>
    </row>
    <row r="665" spans="1:6" ht="22.5">
      <c r="A665" s="22"/>
      <c r="B665" s="22"/>
      <c r="C665" s="22"/>
      <c r="D665" s="22"/>
      <c r="E665" s="22"/>
      <c r="F665" s="22"/>
    </row>
    <row r="666" spans="1:6" ht="22.5">
      <c r="A666" s="22"/>
      <c r="B666" s="22"/>
      <c r="C666" s="22"/>
      <c r="D666" s="22"/>
      <c r="E666" s="22"/>
      <c r="F666" s="22"/>
    </row>
    <row r="667" spans="1:6" ht="22.5">
      <c r="A667" s="111" t="s">
        <v>108</v>
      </c>
      <c r="B667" s="320" t="s">
        <v>109</v>
      </c>
      <c r="C667" s="321"/>
      <c r="D667" s="320" t="s">
        <v>110</v>
      </c>
      <c r="E667" s="322"/>
      <c r="F667" s="321"/>
    </row>
    <row r="668" spans="1:6" ht="22.5">
      <c r="A668" s="109"/>
      <c r="B668" s="109"/>
      <c r="C668" s="54"/>
      <c r="D668" s="63"/>
      <c r="E668" s="63"/>
      <c r="F668" s="54"/>
    </row>
    <row r="669" spans="1:6" ht="22.5">
      <c r="A669" s="109"/>
      <c r="B669" s="109"/>
      <c r="C669" s="54"/>
      <c r="D669" s="63"/>
      <c r="E669" s="63"/>
      <c r="F669" s="54"/>
    </row>
    <row r="670" spans="1:6" ht="22.5">
      <c r="A670" s="109"/>
      <c r="B670" s="109"/>
      <c r="C670" s="54"/>
      <c r="D670" s="63"/>
      <c r="E670" s="63"/>
      <c r="F670" s="54"/>
    </row>
    <row r="671" spans="1:6" ht="22.5">
      <c r="A671" s="109" t="s">
        <v>111</v>
      </c>
      <c r="B671" s="312" t="s">
        <v>112</v>
      </c>
      <c r="C671" s="313"/>
      <c r="D671" s="312" t="s">
        <v>113</v>
      </c>
      <c r="E671" s="314"/>
      <c r="F671" s="313"/>
    </row>
    <row r="672" spans="1:6" ht="22.5">
      <c r="A672" s="110" t="s">
        <v>114</v>
      </c>
      <c r="B672" s="315" t="s">
        <v>115</v>
      </c>
      <c r="C672" s="316"/>
      <c r="D672" s="315" t="s">
        <v>114</v>
      </c>
      <c r="E672" s="317"/>
      <c r="F672" s="316"/>
    </row>
  </sheetData>
  <mergeCells count="231">
    <mergeCell ref="B667:C667"/>
    <mergeCell ref="D667:F667"/>
    <mergeCell ref="B671:C671"/>
    <mergeCell ref="D671:F671"/>
    <mergeCell ref="B672:C672"/>
    <mergeCell ref="D672:F672"/>
    <mergeCell ref="B639:C639"/>
    <mergeCell ref="D639:F639"/>
    <mergeCell ref="B640:C640"/>
    <mergeCell ref="D640:F640"/>
    <mergeCell ref="D641:F641"/>
    <mergeCell ref="D642:F642"/>
    <mergeCell ref="A644:F644"/>
    <mergeCell ref="C647:D647"/>
    <mergeCell ref="E647:F647"/>
    <mergeCell ref="B608:C608"/>
    <mergeCell ref="D608:F608"/>
    <mergeCell ref="D609:F609"/>
    <mergeCell ref="D610:F610"/>
    <mergeCell ref="A612:F612"/>
    <mergeCell ref="C615:D615"/>
    <mergeCell ref="E615:F615"/>
    <mergeCell ref="B635:C635"/>
    <mergeCell ref="D635:F635"/>
    <mergeCell ref="D577:F577"/>
    <mergeCell ref="D578:F578"/>
    <mergeCell ref="A580:F580"/>
    <mergeCell ref="C583:D583"/>
    <mergeCell ref="E583:F583"/>
    <mergeCell ref="B603:C603"/>
    <mergeCell ref="D603:F603"/>
    <mergeCell ref="B607:C607"/>
    <mergeCell ref="D607:F607"/>
    <mergeCell ref="B31:C31"/>
    <mergeCell ref="D31:F31"/>
    <mergeCell ref="B32:C32"/>
    <mergeCell ref="D32:F32"/>
    <mergeCell ref="D1:F1"/>
    <mergeCell ref="D2:F2"/>
    <mergeCell ref="A4:F4"/>
    <mergeCell ref="C7:D7"/>
    <mergeCell ref="E7:F7"/>
    <mergeCell ref="B27:C27"/>
    <mergeCell ref="D27:F27"/>
    <mergeCell ref="B59:C59"/>
    <mergeCell ref="D59:F59"/>
    <mergeCell ref="B63:C63"/>
    <mergeCell ref="D63:F63"/>
    <mergeCell ref="B64:C64"/>
    <mergeCell ref="D64:F64"/>
    <mergeCell ref="D33:F33"/>
    <mergeCell ref="D34:F34"/>
    <mergeCell ref="A36:F36"/>
    <mergeCell ref="C39:D39"/>
    <mergeCell ref="E39:F39"/>
    <mergeCell ref="B91:C91"/>
    <mergeCell ref="D91:F91"/>
    <mergeCell ref="B95:C95"/>
    <mergeCell ref="D95:F95"/>
    <mergeCell ref="B96:C96"/>
    <mergeCell ref="D96:F96"/>
    <mergeCell ref="D65:F65"/>
    <mergeCell ref="D66:F66"/>
    <mergeCell ref="A68:F68"/>
    <mergeCell ref="C71:D71"/>
    <mergeCell ref="E71:F71"/>
    <mergeCell ref="B123:C123"/>
    <mergeCell ref="D123:F123"/>
    <mergeCell ref="B127:C127"/>
    <mergeCell ref="D127:F127"/>
    <mergeCell ref="B128:C128"/>
    <mergeCell ref="D128:F128"/>
    <mergeCell ref="D97:F97"/>
    <mergeCell ref="D98:F98"/>
    <mergeCell ref="A100:F100"/>
    <mergeCell ref="C103:D103"/>
    <mergeCell ref="E103:F103"/>
    <mergeCell ref="B155:C155"/>
    <mergeCell ref="D155:F155"/>
    <mergeCell ref="B159:C159"/>
    <mergeCell ref="D159:F159"/>
    <mergeCell ref="B160:C160"/>
    <mergeCell ref="D160:F160"/>
    <mergeCell ref="D129:F129"/>
    <mergeCell ref="D130:F130"/>
    <mergeCell ref="A132:F132"/>
    <mergeCell ref="C135:D135"/>
    <mergeCell ref="E135:F135"/>
    <mergeCell ref="B187:C187"/>
    <mergeCell ref="D187:F187"/>
    <mergeCell ref="B191:C191"/>
    <mergeCell ref="D191:F191"/>
    <mergeCell ref="B192:C192"/>
    <mergeCell ref="D192:F192"/>
    <mergeCell ref="D161:F161"/>
    <mergeCell ref="D162:F162"/>
    <mergeCell ref="A164:F164"/>
    <mergeCell ref="C167:D167"/>
    <mergeCell ref="E167:F167"/>
    <mergeCell ref="B219:C219"/>
    <mergeCell ref="D219:F219"/>
    <mergeCell ref="B223:C223"/>
    <mergeCell ref="D223:F223"/>
    <mergeCell ref="B224:C224"/>
    <mergeCell ref="D224:F224"/>
    <mergeCell ref="D193:F193"/>
    <mergeCell ref="D194:F194"/>
    <mergeCell ref="A196:F196"/>
    <mergeCell ref="C199:D199"/>
    <mergeCell ref="E199:F199"/>
    <mergeCell ref="B251:C251"/>
    <mergeCell ref="D251:F251"/>
    <mergeCell ref="B255:C255"/>
    <mergeCell ref="D255:F255"/>
    <mergeCell ref="B256:C256"/>
    <mergeCell ref="D256:F256"/>
    <mergeCell ref="D225:F225"/>
    <mergeCell ref="D226:F226"/>
    <mergeCell ref="A228:F228"/>
    <mergeCell ref="C231:D231"/>
    <mergeCell ref="E231:F231"/>
    <mergeCell ref="B283:C283"/>
    <mergeCell ref="D283:F283"/>
    <mergeCell ref="B287:C287"/>
    <mergeCell ref="D287:F287"/>
    <mergeCell ref="B288:C288"/>
    <mergeCell ref="D288:F288"/>
    <mergeCell ref="D257:F257"/>
    <mergeCell ref="D258:F258"/>
    <mergeCell ref="A260:F260"/>
    <mergeCell ref="C263:D263"/>
    <mergeCell ref="E263:F263"/>
    <mergeCell ref="B315:C315"/>
    <mergeCell ref="D315:F315"/>
    <mergeCell ref="B319:C319"/>
    <mergeCell ref="D319:F319"/>
    <mergeCell ref="B320:C320"/>
    <mergeCell ref="D320:F320"/>
    <mergeCell ref="D289:F289"/>
    <mergeCell ref="D290:F290"/>
    <mergeCell ref="A292:F292"/>
    <mergeCell ref="C295:D295"/>
    <mergeCell ref="E295:F295"/>
    <mergeCell ref="B347:C347"/>
    <mergeCell ref="D347:F347"/>
    <mergeCell ref="B351:C351"/>
    <mergeCell ref="D351:F351"/>
    <mergeCell ref="B352:C352"/>
    <mergeCell ref="D352:F352"/>
    <mergeCell ref="D321:F321"/>
    <mergeCell ref="D322:F322"/>
    <mergeCell ref="A324:F324"/>
    <mergeCell ref="C327:D327"/>
    <mergeCell ref="E327:F327"/>
    <mergeCell ref="B379:C379"/>
    <mergeCell ref="D379:F379"/>
    <mergeCell ref="B383:C383"/>
    <mergeCell ref="D383:F383"/>
    <mergeCell ref="B384:C384"/>
    <mergeCell ref="D384:F384"/>
    <mergeCell ref="D353:F353"/>
    <mergeCell ref="D354:F354"/>
    <mergeCell ref="A356:F356"/>
    <mergeCell ref="C359:D359"/>
    <mergeCell ref="E359:F359"/>
    <mergeCell ref="B411:C411"/>
    <mergeCell ref="D411:F411"/>
    <mergeCell ref="B415:C415"/>
    <mergeCell ref="D415:F415"/>
    <mergeCell ref="B416:C416"/>
    <mergeCell ref="D416:F416"/>
    <mergeCell ref="D385:F385"/>
    <mergeCell ref="D386:F386"/>
    <mergeCell ref="A388:F388"/>
    <mergeCell ref="C391:D391"/>
    <mergeCell ref="E391:F391"/>
    <mergeCell ref="B443:C443"/>
    <mergeCell ref="D443:F443"/>
    <mergeCell ref="B447:C447"/>
    <mergeCell ref="D447:F447"/>
    <mergeCell ref="B448:C448"/>
    <mergeCell ref="D448:F448"/>
    <mergeCell ref="D417:F417"/>
    <mergeCell ref="D418:F418"/>
    <mergeCell ref="A420:F420"/>
    <mergeCell ref="C423:D423"/>
    <mergeCell ref="E423:F423"/>
    <mergeCell ref="B475:C475"/>
    <mergeCell ref="D475:F475"/>
    <mergeCell ref="B479:C479"/>
    <mergeCell ref="D479:F479"/>
    <mergeCell ref="B480:C480"/>
    <mergeCell ref="D480:F480"/>
    <mergeCell ref="D449:F449"/>
    <mergeCell ref="D450:F450"/>
    <mergeCell ref="A452:F452"/>
    <mergeCell ref="C455:D455"/>
    <mergeCell ref="E455:F455"/>
    <mergeCell ref="B507:C507"/>
    <mergeCell ref="D507:F507"/>
    <mergeCell ref="B511:C511"/>
    <mergeCell ref="D511:F511"/>
    <mergeCell ref="B512:C512"/>
    <mergeCell ref="D512:F512"/>
    <mergeCell ref="D481:F481"/>
    <mergeCell ref="D482:F482"/>
    <mergeCell ref="A484:F484"/>
    <mergeCell ref="C487:D487"/>
    <mergeCell ref="E487:F487"/>
    <mergeCell ref="B539:C539"/>
    <mergeCell ref="D539:F539"/>
    <mergeCell ref="B543:C543"/>
    <mergeCell ref="D543:F543"/>
    <mergeCell ref="B544:C544"/>
    <mergeCell ref="D544:F544"/>
    <mergeCell ref="D513:F513"/>
    <mergeCell ref="D514:F514"/>
    <mergeCell ref="A516:F516"/>
    <mergeCell ref="C519:D519"/>
    <mergeCell ref="E519:F519"/>
    <mergeCell ref="B576:C576"/>
    <mergeCell ref="D576:F576"/>
    <mergeCell ref="D545:F545"/>
    <mergeCell ref="D546:F546"/>
    <mergeCell ref="A548:F548"/>
    <mergeCell ref="C551:D551"/>
    <mergeCell ref="E551:F551"/>
    <mergeCell ref="B571:C571"/>
    <mergeCell ref="D571:F571"/>
    <mergeCell ref="B575:C575"/>
    <mergeCell ref="D575:F575"/>
  </mergeCells>
  <pageMargins left="0.95" right="0.2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C11" sqref="C11"/>
    </sheetView>
  </sheetViews>
  <sheetFormatPr defaultRowHeight="14.25"/>
  <cols>
    <col min="1" max="1" width="39.875" customWidth="1"/>
    <col min="3" max="3" width="12.125" customWidth="1"/>
    <col min="4" max="4" width="4.25" customWidth="1"/>
    <col min="5" max="5" width="12.25" customWidth="1"/>
    <col min="6" max="6" width="4.125" customWidth="1"/>
  </cols>
  <sheetData>
    <row r="1" spans="1:6" ht="22.5">
      <c r="A1" s="22"/>
      <c r="B1" s="22"/>
      <c r="C1" s="22"/>
      <c r="D1" s="318" t="s">
        <v>123</v>
      </c>
      <c r="E1" s="318"/>
      <c r="F1" s="318"/>
    </row>
    <row r="2" spans="1:6" ht="22.5">
      <c r="A2" s="22"/>
      <c r="B2" s="22"/>
      <c r="C2" s="22"/>
      <c r="D2" s="318" t="s">
        <v>122</v>
      </c>
      <c r="E2" s="318"/>
      <c r="F2" s="318"/>
    </row>
    <row r="3" spans="1:6" ht="22.5">
      <c r="A3" s="22"/>
      <c r="B3" s="22"/>
      <c r="C3" s="22"/>
      <c r="D3" s="22"/>
      <c r="E3" s="22"/>
      <c r="F3" s="22"/>
    </row>
    <row r="4" spans="1:6" ht="26.25">
      <c r="A4" s="319" t="s">
        <v>105</v>
      </c>
      <c r="B4" s="314"/>
      <c r="C4" s="314"/>
      <c r="D4" s="314"/>
      <c r="E4" s="314"/>
      <c r="F4" s="314"/>
    </row>
    <row r="5" spans="1:6" ht="22.5">
      <c r="A5" s="22"/>
      <c r="B5" s="22"/>
      <c r="C5" s="22"/>
      <c r="D5" s="22"/>
      <c r="E5" s="22"/>
      <c r="F5" s="22"/>
    </row>
    <row r="6" spans="1:6" ht="22.5">
      <c r="A6" s="22" t="s">
        <v>106</v>
      </c>
      <c r="B6" s="22"/>
      <c r="C6" s="22"/>
      <c r="D6" s="22"/>
      <c r="E6" s="22"/>
      <c r="F6" s="22"/>
    </row>
    <row r="7" spans="1:6" ht="22.5">
      <c r="A7" s="41" t="s">
        <v>2</v>
      </c>
      <c r="B7" s="25" t="s">
        <v>107</v>
      </c>
      <c r="C7" s="309" t="s">
        <v>10</v>
      </c>
      <c r="D7" s="307"/>
      <c r="E7" s="309" t="s">
        <v>96</v>
      </c>
      <c r="F7" s="307"/>
    </row>
    <row r="8" spans="1:6" ht="22.5">
      <c r="A8" s="35" t="s">
        <v>116</v>
      </c>
      <c r="B8" s="46">
        <v>110202</v>
      </c>
      <c r="C8" s="47">
        <v>1359750</v>
      </c>
      <c r="D8" s="66" t="s">
        <v>124</v>
      </c>
      <c r="E8" s="49"/>
      <c r="F8" s="50"/>
    </row>
    <row r="9" spans="1:6" ht="22.5">
      <c r="A9" s="35" t="s">
        <v>117</v>
      </c>
      <c r="B9" s="46">
        <v>110203</v>
      </c>
      <c r="C9" s="51"/>
      <c r="D9" s="52"/>
      <c r="E9" s="53">
        <f>+C8</f>
        <v>1359750</v>
      </c>
      <c r="F9" s="54" t="str">
        <f>+D8</f>
        <v>54</v>
      </c>
    </row>
    <row r="10" spans="1:6" ht="22.5">
      <c r="A10" s="35"/>
      <c r="B10" s="52"/>
      <c r="C10" s="51"/>
      <c r="D10" s="52"/>
      <c r="E10" s="52"/>
      <c r="F10" s="50"/>
    </row>
    <row r="11" spans="1:6" ht="22.5">
      <c r="A11" s="35"/>
      <c r="B11" s="52"/>
      <c r="C11" s="51"/>
      <c r="D11" s="52"/>
      <c r="E11" s="52"/>
      <c r="F11" s="50"/>
    </row>
    <row r="12" spans="1:6" ht="22.5">
      <c r="A12" s="35"/>
      <c r="B12" s="52"/>
      <c r="C12" s="51"/>
      <c r="D12" s="52"/>
      <c r="E12" s="52"/>
      <c r="F12" s="50"/>
    </row>
    <row r="13" spans="1:6" ht="22.5">
      <c r="A13" s="35"/>
      <c r="B13" s="52"/>
      <c r="C13" s="51"/>
      <c r="D13" s="52"/>
      <c r="E13" s="52"/>
      <c r="F13" s="50"/>
    </row>
    <row r="14" spans="1:6" ht="22.5">
      <c r="A14" s="35"/>
      <c r="B14" s="52"/>
      <c r="C14" s="51"/>
      <c r="D14" s="52"/>
      <c r="E14" s="52"/>
      <c r="F14" s="50"/>
    </row>
    <row r="15" spans="1:6" ht="22.5">
      <c r="A15" s="35"/>
      <c r="B15" s="52"/>
      <c r="C15" s="51"/>
      <c r="D15" s="52"/>
      <c r="E15" s="52"/>
      <c r="F15" s="50"/>
    </row>
    <row r="16" spans="1:6" ht="22.5">
      <c r="A16" s="35"/>
      <c r="B16" s="52"/>
      <c r="C16" s="51"/>
      <c r="D16" s="52"/>
      <c r="E16" s="52"/>
      <c r="F16" s="50"/>
    </row>
    <row r="17" spans="1:6" ht="23.25" thickBot="1">
      <c r="A17" s="55"/>
      <c r="B17" s="56"/>
      <c r="C17" s="57">
        <f>+C8</f>
        <v>1359750</v>
      </c>
      <c r="D17" s="58" t="str">
        <f>+D8</f>
        <v>54</v>
      </c>
      <c r="E17" s="59">
        <f>+E9</f>
        <v>1359750</v>
      </c>
      <c r="F17" s="60" t="str">
        <f>+F9</f>
        <v>54</v>
      </c>
    </row>
    <row r="18" spans="1:6" ht="23.25" thickTop="1">
      <c r="A18" s="22"/>
      <c r="B18" s="22"/>
      <c r="C18" s="22"/>
      <c r="D18" s="22"/>
      <c r="E18" s="22"/>
      <c r="F18" s="22"/>
    </row>
    <row r="19" spans="1:6" ht="22.5">
      <c r="A19" s="22" t="s">
        <v>119</v>
      </c>
      <c r="B19" s="22"/>
      <c r="C19" s="22"/>
      <c r="D19" s="22"/>
      <c r="E19" s="22"/>
      <c r="F19" s="22"/>
    </row>
    <row r="20" spans="1:6" ht="22.5">
      <c r="A20" s="22" t="s">
        <v>118</v>
      </c>
      <c r="B20" s="22"/>
      <c r="C20" s="22"/>
      <c r="D20" s="22"/>
      <c r="E20" s="22"/>
      <c r="F20" s="22"/>
    </row>
    <row r="21" spans="1:6" ht="22.5">
      <c r="A21" s="22"/>
      <c r="B21" s="22"/>
      <c r="C21" s="22"/>
      <c r="D21" s="22"/>
      <c r="E21" s="22"/>
      <c r="F21" s="22"/>
    </row>
    <row r="22" spans="1:6" ht="22.5">
      <c r="A22" s="22"/>
      <c r="B22" s="22"/>
      <c r="C22" s="22"/>
      <c r="D22" s="22"/>
      <c r="E22" s="22"/>
      <c r="F22" s="22"/>
    </row>
    <row r="23" spans="1:6" ht="22.5">
      <c r="A23" s="22"/>
      <c r="B23" s="22"/>
      <c r="C23" s="22"/>
      <c r="D23" s="22"/>
      <c r="E23" s="22"/>
      <c r="F23" s="22"/>
    </row>
    <row r="24" spans="1:6" ht="22.5">
      <c r="A24" s="22"/>
      <c r="B24" s="22"/>
      <c r="C24" s="22"/>
      <c r="D24" s="22"/>
      <c r="E24" s="22"/>
      <c r="F24" s="22"/>
    </row>
    <row r="25" spans="1:6" ht="22.5">
      <c r="A25" s="22"/>
      <c r="B25" s="22"/>
      <c r="C25" s="22"/>
      <c r="D25" s="22"/>
      <c r="E25" s="22"/>
      <c r="F25" s="22"/>
    </row>
    <row r="26" spans="1:6" ht="22.5">
      <c r="A26" s="22"/>
      <c r="B26" s="22"/>
      <c r="C26" s="22"/>
      <c r="D26" s="22"/>
      <c r="E26" s="22"/>
      <c r="F26" s="22"/>
    </row>
    <row r="27" spans="1:6" ht="22.5">
      <c r="A27" s="23" t="s">
        <v>108</v>
      </c>
      <c r="B27" s="320" t="s">
        <v>109</v>
      </c>
      <c r="C27" s="321"/>
      <c r="D27" s="320" t="s">
        <v>110</v>
      </c>
      <c r="E27" s="322"/>
      <c r="F27" s="321"/>
    </row>
    <row r="28" spans="1:6" ht="22.5">
      <c r="A28" s="62"/>
      <c r="B28" s="62"/>
      <c r="C28" s="54"/>
      <c r="D28" s="63"/>
      <c r="E28" s="63"/>
      <c r="F28" s="54"/>
    </row>
    <row r="29" spans="1:6" ht="22.5">
      <c r="A29" s="62"/>
      <c r="B29" s="62"/>
      <c r="C29" s="54"/>
      <c r="D29" s="63"/>
      <c r="E29" s="63"/>
      <c r="F29" s="54"/>
    </row>
    <row r="30" spans="1:6" ht="22.5">
      <c r="A30" s="62"/>
      <c r="B30" s="62"/>
      <c r="C30" s="54"/>
      <c r="D30" s="63"/>
      <c r="E30" s="63"/>
      <c r="F30" s="54"/>
    </row>
    <row r="31" spans="1:6" ht="22.5">
      <c r="A31" s="62" t="s">
        <v>111</v>
      </c>
      <c r="B31" s="312" t="s">
        <v>112</v>
      </c>
      <c r="C31" s="313"/>
      <c r="D31" s="312" t="s">
        <v>113</v>
      </c>
      <c r="E31" s="314"/>
      <c r="F31" s="313"/>
    </row>
    <row r="32" spans="1:6" ht="22.5">
      <c r="A32" s="24" t="s">
        <v>114</v>
      </c>
      <c r="B32" s="315" t="s">
        <v>115</v>
      </c>
      <c r="C32" s="316"/>
      <c r="D32" s="315" t="s">
        <v>114</v>
      </c>
      <c r="E32" s="317"/>
      <c r="F32" s="316"/>
    </row>
  </sheetData>
  <mergeCells count="11">
    <mergeCell ref="B31:C31"/>
    <mergeCell ref="D31:F31"/>
    <mergeCell ref="B32:C32"/>
    <mergeCell ref="D32:F32"/>
    <mergeCell ref="D1:F1"/>
    <mergeCell ref="D2:F2"/>
    <mergeCell ref="A4:F4"/>
    <mergeCell ref="C7:D7"/>
    <mergeCell ref="E7:F7"/>
    <mergeCell ref="B27:C27"/>
    <mergeCell ref="D27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16"/>
  <sheetViews>
    <sheetView topLeftCell="A91" workbookViewId="0">
      <pane xSplit="1" topLeftCell="L1" activePane="topRight" state="frozen"/>
      <selection pane="topRight" activeCell="L99" sqref="L99"/>
    </sheetView>
  </sheetViews>
  <sheetFormatPr defaultRowHeight="17.25"/>
  <cols>
    <col min="1" max="1" width="47.375" style="77" customWidth="1"/>
    <col min="2" max="2" width="14.375" style="77" customWidth="1"/>
    <col min="3" max="3" width="14.125" style="77" customWidth="1"/>
    <col min="4" max="4" width="12.375" style="77" customWidth="1"/>
    <col min="5" max="5" width="12.5" style="77" customWidth="1"/>
    <col min="6" max="7" width="15.25" style="77" customWidth="1"/>
    <col min="8" max="8" width="13.75" style="77" customWidth="1"/>
    <col min="9" max="9" width="14" style="77" customWidth="1"/>
    <col min="10" max="11" width="13.875" style="77" customWidth="1"/>
    <col min="12" max="12" width="13.625" style="77" customWidth="1"/>
    <col min="13" max="13" width="14.75" style="77" customWidth="1"/>
    <col min="14" max="14" width="17.25" style="93" customWidth="1"/>
    <col min="15" max="15" width="14.125" style="93" customWidth="1"/>
    <col min="16" max="16" width="9" style="93"/>
    <col min="17" max="17" width="13.875" style="93" customWidth="1"/>
    <col min="18" max="18" width="12.5" style="93" customWidth="1"/>
    <col min="19" max="19" width="10.75" style="77" bestFit="1" customWidth="1"/>
    <col min="20" max="16384" width="9" style="77"/>
  </cols>
  <sheetData>
    <row r="1" spans="1:19" s="71" customFormat="1" ht="24">
      <c r="A1" s="325" t="s">
        <v>215</v>
      </c>
      <c r="B1" s="325"/>
      <c r="C1" s="325"/>
      <c r="D1" s="325"/>
      <c r="E1" s="325"/>
      <c r="F1" s="325"/>
      <c r="G1" s="325"/>
      <c r="H1" s="325"/>
      <c r="I1" s="325"/>
      <c r="N1" s="85"/>
      <c r="O1" s="85"/>
      <c r="P1" s="85"/>
      <c r="Q1" s="85"/>
      <c r="R1" s="85"/>
    </row>
    <row r="2" spans="1:19" s="71" customFormat="1" ht="21" customHeight="1">
      <c r="A2" s="72" t="s">
        <v>210</v>
      </c>
      <c r="B2" s="323" t="s">
        <v>216</v>
      </c>
      <c r="C2" s="324"/>
      <c r="D2" s="323" t="s">
        <v>212</v>
      </c>
      <c r="E2" s="324"/>
      <c r="F2" s="323" t="s">
        <v>213</v>
      </c>
      <c r="G2" s="324"/>
      <c r="H2" s="323" t="s">
        <v>211</v>
      </c>
      <c r="I2" s="324"/>
      <c r="J2" s="323" t="s">
        <v>214</v>
      </c>
      <c r="K2" s="324"/>
      <c r="L2" s="323" t="s">
        <v>217</v>
      </c>
      <c r="M2" s="307"/>
      <c r="N2" s="85"/>
      <c r="O2" s="85"/>
      <c r="P2" s="85"/>
      <c r="Q2" s="85"/>
      <c r="R2" s="85"/>
    </row>
    <row r="3" spans="1:19" s="71" customFormat="1" ht="21" customHeight="1">
      <c r="A3" s="101"/>
      <c r="B3" s="73" t="s">
        <v>10</v>
      </c>
      <c r="C3" s="102" t="s">
        <v>96</v>
      </c>
      <c r="D3" s="73" t="s">
        <v>10</v>
      </c>
      <c r="E3" s="102" t="s">
        <v>96</v>
      </c>
      <c r="F3" s="73" t="s">
        <v>10</v>
      </c>
      <c r="G3" s="102" t="s">
        <v>96</v>
      </c>
      <c r="H3" s="73" t="s">
        <v>10</v>
      </c>
      <c r="I3" s="74" t="s">
        <v>96</v>
      </c>
      <c r="J3" s="73" t="s">
        <v>10</v>
      </c>
      <c r="K3" s="102" t="s">
        <v>96</v>
      </c>
      <c r="L3" s="96" t="s">
        <v>10</v>
      </c>
      <c r="M3" s="102" t="s">
        <v>96</v>
      </c>
      <c r="N3" s="207"/>
      <c r="O3" s="207"/>
      <c r="P3" s="85"/>
      <c r="Q3" s="207"/>
      <c r="R3" s="207"/>
      <c r="S3" s="159"/>
    </row>
    <row r="4" spans="1:19" ht="21" customHeight="1">
      <c r="A4" s="75" t="s">
        <v>100</v>
      </c>
      <c r="B4" s="76">
        <v>4574</v>
      </c>
      <c r="C4" s="76"/>
      <c r="D4" s="76"/>
      <c r="E4" s="76">
        <v>4574</v>
      </c>
      <c r="F4" s="76"/>
      <c r="G4" s="76"/>
      <c r="H4" s="76"/>
      <c r="I4" s="76"/>
      <c r="J4" s="76">
        <f>+B4+D4+F4+H4</f>
        <v>4574</v>
      </c>
      <c r="K4" s="76">
        <f>+C4+E4+G4+I4</f>
        <v>4574</v>
      </c>
      <c r="L4" s="97">
        <f>+J4-K4</f>
        <v>0</v>
      </c>
      <c r="M4" s="75"/>
      <c r="N4" s="207"/>
      <c r="O4" s="207"/>
      <c r="P4" s="85"/>
      <c r="Q4" s="207"/>
      <c r="R4" s="207"/>
    </row>
    <row r="5" spans="1:19" ht="21" customHeight="1">
      <c r="A5" s="78" t="s">
        <v>150</v>
      </c>
      <c r="B5" s="79"/>
      <c r="C5" s="79"/>
      <c r="D5" s="79"/>
      <c r="E5" s="79"/>
      <c r="F5" s="79"/>
      <c r="G5" s="79"/>
      <c r="H5" s="79"/>
      <c r="I5" s="79"/>
      <c r="J5" s="94">
        <f t="shared" ref="J5:J10" si="0">+B5+D5+F5+H5</f>
        <v>0</v>
      </c>
      <c r="K5" s="94">
        <f t="shared" ref="K5:K10" si="1">+C5+E5+G5+I5</f>
        <v>0</v>
      </c>
      <c r="L5" s="84"/>
      <c r="M5" s="84"/>
      <c r="N5" s="85"/>
      <c r="O5" s="85"/>
      <c r="P5" s="85"/>
      <c r="Q5" s="207"/>
      <c r="R5" s="85"/>
    </row>
    <row r="6" spans="1:19" ht="21" customHeight="1">
      <c r="A6" s="80" t="s">
        <v>153</v>
      </c>
      <c r="B6" s="79">
        <v>9830008.1500000004</v>
      </c>
      <c r="C6" s="79"/>
      <c r="D6" s="79">
        <f>198718.76+789.24</f>
        <v>199508</v>
      </c>
      <c r="E6" s="79">
        <f>412466.19</f>
        <v>412466.19</v>
      </c>
      <c r="F6" s="79">
        <f>1159358.99+546.15</f>
        <v>1159905.1399999999</v>
      </c>
      <c r="G6" s="79">
        <f>3263524.5</f>
        <v>3263524.5</v>
      </c>
      <c r="H6" s="79">
        <f>1066.42+1401.95+1405.45+1443.48+20000</f>
        <v>25317.3</v>
      </c>
      <c r="I6" s="79">
        <f>282.21</f>
        <v>282.20999999999998</v>
      </c>
      <c r="J6" s="79">
        <f t="shared" si="0"/>
        <v>11214738.590000002</v>
      </c>
      <c r="K6" s="79">
        <f t="shared" si="1"/>
        <v>3676272.9</v>
      </c>
      <c r="L6" s="98">
        <f>+J6-K6</f>
        <v>7538465.6900000013</v>
      </c>
      <c r="M6" s="84"/>
      <c r="N6" s="85"/>
      <c r="O6" s="207"/>
      <c r="P6" s="85"/>
      <c r="Q6" s="85"/>
      <c r="R6" s="208"/>
    </row>
    <row r="7" spans="1:19" ht="21" customHeight="1">
      <c r="A7" s="80" t="s">
        <v>154</v>
      </c>
      <c r="B7" s="79">
        <v>5510487.46</v>
      </c>
      <c r="C7" s="79"/>
      <c r="D7" s="79"/>
      <c r="E7" s="79"/>
      <c r="F7" s="79">
        <v>13738.48</v>
      </c>
      <c r="G7" s="79"/>
      <c r="H7" s="79"/>
      <c r="I7" s="79"/>
      <c r="J7" s="79">
        <f t="shared" si="0"/>
        <v>5524225.9400000004</v>
      </c>
      <c r="K7" s="79">
        <f t="shared" si="1"/>
        <v>0</v>
      </c>
      <c r="L7" s="98">
        <f>+J7-K7</f>
        <v>5524225.9400000004</v>
      </c>
      <c r="M7" s="84"/>
      <c r="N7" s="85"/>
      <c r="O7" s="207"/>
      <c r="P7" s="85"/>
      <c r="Q7" s="85"/>
      <c r="R7" s="85"/>
    </row>
    <row r="8" spans="1:19" ht="21" customHeight="1">
      <c r="A8" s="80" t="s">
        <v>155</v>
      </c>
      <c r="B8" s="79">
        <v>605129.77</v>
      </c>
      <c r="C8" s="79"/>
      <c r="D8" s="81"/>
      <c r="E8" s="79"/>
      <c r="F8" s="79">
        <f>1443.48</f>
        <v>1443.48</v>
      </c>
      <c r="G8" s="79"/>
      <c r="H8" s="79"/>
      <c r="I8" s="79"/>
      <c r="J8" s="79">
        <f t="shared" si="0"/>
        <v>606573.25</v>
      </c>
      <c r="K8" s="79">
        <f t="shared" si="1"/>
        <v>0</v>
      </c>
      <c r="L8" s="98">
        <f>+J8-K8</f>
        <v>606573.25</v>
      </c>
      <c r="M8" s="84"/>
      <c r="N8" s="85"/>
      <c r="O8" s="207"/>
      <c r="P8" s="85"/>
      <c r="Q8" s="85"/>
      <c r="R8" s="85"/>
    </row>
    <row r="9" spans="1:19" ht="21" customHeight="1">
      <c r="A9" s="80" t="s">
        <v>156</v>
      </c>
      <c r="B9" s="79">
        <v>0</v>
      </c>
      <c r="C9" s="79"/>
      <c r="D9" s="79"/>
      <c r="E9" s="79"/>
      <c r="F9" s="79"/>
      <c r="G9" s="79"/>
      <c r="H9" s="79"/>
      <c r="I9" s="79"/>
      <c r="J9" s="79">
        <f t="shared" si="0"/>
        <v>0</v>
      </c>
      <c r="K9" s="79">
        <f t="shared" si="1"/>
        <v>0</v>
      </c>
      <c r="L9" s="98">
        <f>+J9-K9</f>
        <v>0</v>
      </c>
      <c r="M9" s="84"/>
      <c r="N9" s="85"/>
      <c r="O9" s="207"/>
      <c r="P9" s="85"/>
      <c r="Q9" s="85"/>
      <c r="R9" s="85"/>
    </row>
    <row r="10" spans="1:19" ht="21" customHeight="1">
      <c r="A10" s="80" t="s">
        <v>246</v>
      </c>
      <c r="B10" s="79">
        <v>122675.6</v>
      </c>
      <c r="C10" s="79"/>
      <c r="D10" s="79"/>
      <c r="E10" s="79"/>
      <c r="F10" s="79"/>
      <c r="G10" s="79"/>
      <c r="H10" s="79">
        <f>166432.94</f>
        <v>166432.94</v>
      </c>
      <c r="I10" s="79">
        <v>225087</v>
      </c>
      <c r="J10" s="79">
        <f t="shared" si="0"/>
        <v>289108.54000000004</v>
      </c>
      <c r="K10" s="79">
        <f t="shared" si="1"/>
        <v>225087</v>
      </c>
      <c r="L10" s="98">
        <f>+J10-K10</f>
        <v>64021.540000000037</v>
      </c>
      <c r="M10" s="84"/>
      <c r="N10" s="85"/>
      <c r="O10" s="208"/>
      <c r="P10" s="85"/>
      <c r="Q10" s="85"/>
      <c r="R10" s="85"/>
    </row>
    <row r="11" spans="1:19" ht="21" customHeight="1">
      <c r="A11" s="82" t="s">
        <v>151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84"/>
      <c r="M11" s="84"/>
      <c r="N11" s="85"/>
      <c r="O11" s="85"/>
      <c r="P11" s="85"/>
      <c r="Q11" s="85"/>
      <c r="R11" s="85"/>
    </row>
    <row r="12" spans="1:19" ht="21" customHeight="1">
      <c r="A12" s="80" t="s">
        <v>157</v>
      </c>
      <c r="B12" s="79">
        <v>1666739.78</v>
      </c>
      <c r="C12" s="79"/>
      <c r="D12" s="79"/>
      <c r="E12" s="79"/>
      <c r="F12" s="79">
        <v>9950.35</v>
      </c>
      <c r="G12" s="79"/>
      <c r="H12" s="79"/>
      <c r="I12" s="83"/>
      <c r="J12" s="79">
        <f t="shared" ref="J12:J33" si="2">+B12+D12+F12+H12</f>
        <v>1676690.1300000001</v>
      </c>
      <c r="K12" s="79">
        <f t="shared" ref="K12:K33" si="3">+C12+E12+G12+I12</f>
        <v>0</v>
      </c>
      <c r="L12" s="98">
        <f>+J12-K12</f>
        <v>1676690.1300000001</v>
      </c>
      <c r="M12" s="84"/>
      <c r="N12" s="85"/>
      <c r="O12" s="85"/>
      <c r="P12" s="85"/>
      <c r="Q12" s="85"/>
      <c r="R12" s="85"/>
    </row>
    <row r="13" spans="1:19" ht="21" customHeight="1">
      <c r="A13" s="82" t="s">
        <v>152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84"/>
      <c r="M13" s="84"/>
      <c r="N13" s="85"/>
      <c r="O13" s="85"/>
      <c r="P13" s="85"/>
      <c r="Q13" s="85"/>
      <c r="R13" s="85"/>
    </row>
    <row r="14" spans="1:19" ht="21" customHeight="1">
      <c r="A14" s="80" t="s">
        <v>158</v>
      </c>
      <c r="B14" s="79">
        <v>11992967.130000001</v>
      </c>
      <c r="C14" s="79"/>
      <c r="D14" s="79">
        <v>199311.11</v>
      </c>
      <c r="E14" s="79"/>
      <c r="F14" s="79">
        <v>1234125.19</v>
      </c>
      <c r="G14" s="79"/>
      <c r="H14" s="79"/>
      <c r="I14" s="79">
        <v>600</v>
      </c>
      <c r="J14" s="79">
        <f t="shared" si="2"/>
        <v>13426403.43</v>
      </c>
      <c r="K14" s="79">
        <f t="shared" si="3"/>
        <v>600</v>
      </c>
      <c r="L14" s="98">
        <f t="shared" ref="L14:L32" si="4">+J14-K14</f>
        <v>13425803.43</v>
      </c>
      <c r="M14" s="84"/>
      <c r="N14" s="85"/>
      <c r="O14" s="85"/>
      <c r="P14" s="85"/>
      <c r="Q14" s="85"/>
      <c r="R14" s="85"/>
    </row>
    <row r="15" spans="1:19" ht="21" customHeight="1">
      <c r="A15" s="80" t="s">
        <v>159</v>
      </c>
      <c r="B15" s="79">
        <v>0</v>
      </c>
      <c r="C15" s="79"/>
      <c r="D15" s="79"/>
      <c r="E15" s="79"/>
      <c r="F15" s="79"/>
      <c r="G15" s="79"/>
      <c r="H15" s="79"/>
      <c r="I15" s="79"/>
      <c r="J15" s="79">
        <f t="shared" si="2"/>
        <v>0</v>
      </c>
      <c r="K15" s="79">
        <f t="shared" si="3"/>
        <v>0</v>
      </c>
      <c r="L15" s="98">
        <f t="shared" si="4"/>
        <v>0</v>
      </c>
      <c r="M15" s="84"/>
      <c r="N15" s="85"/>
      <c r="O15" s="85"/>
      <c r="P15" s="85"/>
      <c r="Q15" s="85"/>
      <c r="R15" s="85"/>
    </row>
    <row r="16" spans="1:19" ht="21" customHeight="1">
      <c r="A16" s="80" t="s">
        <v>160</v>
      </c>
      <c r="B16" s="79">
        <v>3600</v>
      </c>
      <c r="C16" s="79"/>
      <c r="D16" s="79"/>
      <c r="E16" s="79"/>
      <c r="F16" s="79"/>
      <c r="G16" s="79"/>
      <c r="H16" s="79"/>
      <c r="I16" s="79">
        <v>3600</v>
      </c>
      <c r="J16" s="79">
        <f t="shared" si="2"/>
        <v>3600</v>
      </c>
      <c r="K16" s="79">
        <f t="shared" si="3"/>
        <v>3600</v>
      </c>
      <c r="L16" s="98">
        <f t="shared" si="4"/>
        <v>0</v>
      </c>
      <c r="M16" s="84"/>
      <c r="N16" s="207"/>
      <c r="O16" s="85"/>
      <c r="P16" s="85"/>
      <c r="Q16" s="207"/>
      <c r="R16" s="85"/>
      <c r="S16" s="158"/>
    </row>
    <row r="17" spans="1:18" ht="21" customHeight="1">
      <c r="A17" s="80" t="s">
        <v>161</v>
      </c>
      <c r="B17" s="79">
        <v>0</v>
      </c>
      <c r="C17" s="79"/>
      <c r="D17" s="79"/>
      <c r="E17" s="79"/>
      <c r="F17" s="79"/>
      <c r="G17" s="79"/>
      <c r="H17" s="79"/>
      <c r="I17" s="79"/>
      <c r="J17" s="79">
        <f t="shared" si="2"/>
        <v>0</v>
      </c>
      <c r="K17" s="79">
        <f t="shared" si="3"/>
        <v>0</v>
      </c>
      <c r="L17" s="98">
        <f t="shared" si="4"/>
        <v>0</v>
      </c>
      <c r="M17" s="84"/>
      <c r="N17" s="85"/>
      <c r="O17" s="85"/>
      <c r="P17" s="85"/>
      <c r="Q17" s="85"/>
      <c r="R17" s="85"/>
    </row>
    <row r="18" spans="1:18" ht="21" customHeight="1">
      <c r="A18" s="80" t="s">
        <v>162</v>
      </c>
      <c r="B18" s="79">
        <v>1.1399999999999999</v>
      </c>
      <c r="C18" s="79"/>
      <c r="D18" s="79"/>
      <c r="E18" s="79"/>
      <c r="F18" s="79"/>
      <c r="G18" s="79"/>
      <c r="H18" s="79"/>
      <c r="I18" s="79"/>
      <c r="J18" s="79">
        <f t="shared" si="2"/>
        <v>1.1399999999999999</v>
      </c>
      <c r="K18" s="79">
        <f t="shared" si="3"/>
        <v>0</v>
      </c>
      <c r="L18" s="98">
        <f t="shared" si="4"/>
        <v>1.1399999999999999</v>
      </c>
      <c r="M18" s="84"/>
      <c r="N18" s="85"/>
      <c r="O18" s="85"/>
      <c r="P18" s="85"/>
      <c r="Q18" s="85"/>
      <c r="R18" s="85"/>
    </row>
    <row r="19" spans="1:18" ht="21" customHeight="1">
      <c r="A19" s="80" t="s">
        <v>70</v>
      </c>
      <c r="B19" s="79">
        <v>51710</v>
      </c>
      <c r="C19" s="79"/>
      <c r="D19" s="79">
        <v>18736</v>
      </c>
      <c r="E19" s="79"/>
      <c r="F19" s="79"/>
      <c r="G19" s="79"/>
      <c r="H19" s="79"/>
      <c r="I19" s="79">
        <v>70446</v>
      </c>
      <c r="J19" s="79">
        <f t="shared" si="2"/>
        <v>70446</v>
      </c>
      <c r="K19" s="79">
        <f t="shared" si="3"/>
        <v>70446</v>
      </c>
      <c r="L19" s="98">
        <f t="shared" si="4"/>
        <v>0</v>
      </c>
      <c r="M19" s="84"/>
      <c r="N19" s="208"/>
      <c r="O19" s="85"/>
      <c r="P19" s="85"/>
      <c r="Q19" s="85"/>
      <c r="R19" s="85"/>
    </row>
    <row r="20" spans="1:18" ht="21" customHeight="1">
      <c r="A20" s="80" t="s">
        <v>54</v>
      </c>
      <c r="B20" s="79">
        <v>1102812</v>
      </c>
      <c r="C20" s="79"/>
      <c r="D20" s="79">
        <v>109130</v>
      </c>
      <c r="E20" s="79"/>
      <c r="F20" s="79">
        <v>110719</v>
      </c>
      <c r="G20" s="79"/>
      <c r="H20" s="79"/>
      <c r="I20" s="79"/>
      <c r="J20" s="79">
        <f t="shared" si="2"/>
        <v>1322661</v>
      </c>
      <c r="K20" s="79">
        <f t="shared" si="3"/>
        <v>0</v>
      </c>
      <c r="L20" s="98">
        <f t="shared" si="4"/>
        <v>1322661</v>
      </c>
      <c r="M20" s="84"/>
      <c r="N20" s="85"/>
      <c r="O20" s="208"/>
      <c r="P20" s="85"/>
      <c r="Q20" s="85"/>
      <c r="R20" s="85"/>
    </row>
    <row r="21" spans="1:18" ht="21" customHeight="1">
      <c r="A21" s="80" t="s">
        <v>55</v>
      </c>
      <c r="B21" s="79">
        <v>86080</v>
      </c>
      <c r="C21" s="79"/>
      <c r="D21" s="79">
        <v>8710</v>
      </c>
      <c r="E21" s="79"/>
      <c r="F21" s="79">
        <v>8710</v>
      </c>
      <c r="G21" s="79"/>
      <c r="H21" s="79"/>
      <c r="I21" s="79"/>
      <c r="J21" s="79">
        <f t="shared" si="2"/>
        <v>103500</v>
      </c>
      <c r="K21" s="79">
        <f t="shared" si="3"/>
        <v>0</v>
      </c>
      <c r="L21" s="98">
        <f t="shared" si="4"/>
        <v>103500</v>
      </c>
      <c r="M21" s="84"/>
      <c r="N21" s="85"/>
      <c r="O21" s="85"/>
      <c r="P21" s="85"/>
      <c r="Q21" s="85"/>
      <c r="R21" s="85"/>
    </row>
    <row r="22" spans="1:18" ht="21" customHeight="1">
      <c r="A22" s="80" t="s">
        <v>56</v>
      </c>
      <c r="B22" s="79">
        <v>287220</v>
      </c>
      <c r="C22" s="79"/>
      <c r="D22" s="79">
        <v>31770</v>
      </c>
      <c r="E22" s="79"/>
      <c r="F22" s="79">
        <v>36770</v>
      </c>
      <c r="G22" s="79"/>
      <c r="H22" s="79"/>
      <c r="I22" s="79"/>
      <c r="J22" s="79">
        <f t="shared" si="2"/>
        <v>355760</v>
      </c>
      <c r="K22" s="79">
        <f t="shared" si="3"/>
        <v>0</v>
      </c>
      <c r="L22" s="98">
        <f t="shared" si="4"/>
        <v>355760</v>
      </c>
      <c r="M22" s="84"/>
      <c r="N22" s="85"/>
      <c r="O22" s="85"/>
      <c r="P22" s="85"/>
      <c r="Q22" s="85"/>
      <c r="R22" s="85"/>
    </row>
    <row r="23" spans="1:18" ht="21" customHeight="1">
      <c r="A23" s="80" t="s">
        <v>57</v>
      </c>
      <c r="B23" s="79">
        <v>1237837</v>
      </c>
      <c r="C23" s="79"/>
      <c r="D23" s="79">
        <v>117008</v>
      </c>
      <c r="E23" s="79"/>
      <c r="F23" s="79">
        <v>871603</v>
      </c>
      <c r="G23" s="79"/>
      <c r="H23" s="79"/>
      <c r="I23" s="79"/>
      <c r="J23" s="79">
        <f t="shared" si="2"/>
        <v>2226448</v>
      </c>
      <c r="K23" s="79">
        <f t="shared" si="3"/>
        <v>0</v>
      </c>
      <c r="L23" s="98">
        <f t="shared" si="4"/>
        <v>2226448</v>
      </c>
      <c r="M23" s="84"/>
      <c r="N23" s="85"/>
      <c r="O23" s="85"/>
      <c r="P23" s="85"/>
      <c r="Q23" s="85"/>
      <c r="R23" s="85"/>
    </row>
    <row r="24" spans="1:18" ht="21" customHeight="1">
      <c r="A24" s="80" t="s">
        <v>58</v>
      </c>
      <c r="B24" s="79">
        <v>1459797.62</v>
      </c>
      <c r="C24" s="79"/>
      <c r="D24" s="79">
        <v>4242</v>
      </c>
      <c r="E24" s="79"/>
      <c r="F24" s="79">
        <v>588599.19999999995</v>
      </c>
      <c r="G24" s="79"/>
      <c r="H24" s="79">
        <v>70446</v>
      </c>
      <c r="I24" s="79"/>
      <c r="J24" s="79">
        <f t="shared" si="2"/>
        <v>2123084.8200000003</v>
      </c>
      <c r="K24" s="79">
        <f t="shared" si="3"/>
        <v>0</v>
      </c>
      <c r="L24" s="98">
        <f t="shared" si="4"/>
        <v>2123084.8200000003</v>
      </c>
      <c r="M24" s="84"/>
      <c r="N24" s="85"/>
      <c r="O24" s="85"/>
      <c r="P24" s="85"/>
      <c r="Q24" s="85"/>
      <c r="R24" s="85"/>
    </row>
    <row r="25" spans="1:18" ht="21" customHeight="1">
      <c r="A25" s="80" t="s">
        <v>59</v>
      </c>
      <c r="B25" s="79">
        <v>230344</v>
      </c>
      <c r="C25" s="79"/>
      <c r="D25" s="79">
        <v>15150</v>
      </c>
      <c r="E25" s="79"/>
      <c r="F25" s="79">
        <v>101536</v>
      </c>
      <c r="G25" s="79"/>
      <c r="H25" s="79">
        <v>19000</v>
      </c>
      <c r="I25" s="79"/>
      <c r="J25" s="79">
        <f t="shared" si="2"/>
        <v>366030</v>
      </c>
      <c r="K25" s="79">
        <f t="shared" si="3"/>
        <v>0</v>
      </c>
      <c r="L25" s="98">
        <f t="shared" si="4"/>
        <v>366030</v>
      </c>
      <c r="M25" s="84"/>
      <c r="N25" s="85"/>
      <c r="O25" s="85"/>
      <c r="P25" s="85"/>
      <c r="Q25" s="85"/>
      <c r="R25" s="85"/>
    </row>
    <row r="26" spans="1:18" ht="21" customHeight="1">
      <c r="A26" s="80" t="s">
        <v>163</v>
      </c>
      <c r="B26" s="79">
        <v>80007.7</v>
      </c>
      <c r="C26" s="79"/>
      <c r="D26" s="79">
        <v>9110.2999999999993</v>
      </c>
      <c r="E26" s="79"/>
      <c r="F26" s="79">
        <v>11129.74</v>
      </c>
      <c r="G26" s="79"/>
      <c r="H26" s="79"/>
      <c r="I26" s="79"/>
      <c r="J26" s="79">
        <f t="shared" si="2"/>
        <v>100247.74</v>
      </c>
      <c r="K26" s="79">
        <f t="shared" si="3"/>
        <v>0</v>
      </c>
      <c r="L26" s="98">
        <f t="shared" si="4"/>
        <v>100247.74</v>
      </c>
      <c r="M26" s="84"/>
      <c r="N26" s="85"/>
      <c r="O26" s="85"/>
      <c r="P26" s="85"/>
      <c r="Q26" s="85"/>
      <c r="R26" s="85"/>
    </row>
    <row r="27" spans="1:18" ht="21" customHeight="1">
      <c r="A27" s="84" t="s">
        <v>62</v>
      </c>
      <c r="B27" s="79">
        <v>185900</v>
      </c>
      <c r="C27" s="79"/>
      <c r="D27" s="79"/>
      <c r="E27" s="79"/>
      <c r="F27" s="79"/>
      <c r="G27" s="79"/>
      <c r="H27" s="79">
        <v>182000</v>
      </c>
      <c r="I27" s="79"/>
      <c r="J27" s="79">
        <f t="shared" si="2"/>
        <v>367900</v>
      </c>
      <c r="K27" s="79">
        <f t="shared" si="3"/>
        <v>0</v>
      </c>
      <c r="L27" s="98">
        <f t="shared" si="4"/>
        <v>367900</v>
      </c>
      <c r="M27" s="84"/>
      <c r="N27" s="85"/>
      <c r="O27" s="85"/>
      <c r="P27" s="85"/>
      <c r="Q27" s="85"/>
      <c r="R27" s="85"/>
    </row>
    <row r="28" spans="1:18" s="128" customFormat="1" ht="21" customHeight="1">
      <c r="A28" s="129" t="s">
        <v>217</v>
      </c>
      <c r="B28" s="130">
        <f>SUM(B4:B27)</f>
        <v>34457891.350000001</v>
      </c>
      <c r="C28" s="130">
        <f t="shared" ref="C28:M28" si="5">SUM(C4:C27)</f>
        <v>0</v>
      </c>
      <c r="D28" s="130">
        <f t="shared" si="5"/>
        <v>712675.41</v>
      </c>
      <c r="E28" s="130">
        <f t="shared" si="5"/>
        <v>417040.19</v>
      </c>
      <c r="F28" s="130">
        <f t="shared" si="5"/>
        <v>4148229.58</v>
      </c>
      <c r="G28" s="130">
        <f t="shared" si="5"/>
        <v>3263524.5</v>
      </c>
      <c r="H28" s="130">
        <f t="shared" si="5"/>
        <v>463196.24</v>
      </c>
      <c r="I28" s="130">
        <f t="shared" si="5"/>
        <v>300015.20999999996</v>
      </c>
      <c r="J28" s="130">
        <f t="shared" si="5"/>
        <v>39781992.579999998</v>
      </c>
      <c r="K28" s="130">
        <f t="shared" si="5"/>
        <v>3980579.9</v>
      </c>
      <c r="L28" s="130">
        <f t="shared" si="5"/>
        <v>35801412.680000007</v>
      </c>
      <c r="M28" s="130">
        <f t="shared" si="5"/>
        <v>0</v>
      </c>
      <c r="N28" s="209"/>
      <c r="O28" s="209"/>
      <c r="P28" s="209"/>
      <c r="Q28" s="209"/>
      <c r="R28" s="209"/>
    </row>
    <row r="29" spans="1:18" ht="21" customHeight="1">
      <c r="A29" s="72" t="s">
        <v>210</v>
      </c>
      <c r="B29" s="323" t="s">
        <v>216</v>
      </c>
      <c r="C29" s="324"/>
      <c r="D29" s="323" t="s">
        <v>212</v>
      </c>
      <c r="E29" s="324"/>
      <c r="F29" s="323" t="s">
        <v>213</v>
      </c>
      <c r="G29" s="324"/>
      <c r="H29" s="323" t="s">
        <v>211</v>
      </c>
      <c r="I29" s="324"/>
      <c r="J29" s="323" t="s">
        <v>214</v>
      </c>
      <c r="K29" s="324"/>
      <c r="L29" s="323" t="s">
        <v>217</v>
      </c>
      <c r="M29" s="307"/>
      <c r="N29" s="85"/>
      <c r="O29" s="85"/>
      <c r="P29" s="85"/>
      <c r="Q29" s="85"/>
      <c r="R29" s="85"/>
    </row>
    <row r="30" spans="1:18" ht="21" customHeight="1">
      <c r="A30" s="101"/>
      <c r="B30" s="73" t="s">
        <v>10</v>
      </c>
      <c r="C30" s="102" t="s">
        <v>96</v>
      </c>
      <c r="D30" s="73" t="s">
        <v>10</v>
      </c>
      <c r="E30" s="102" t="s">
        <v>96</v>
      </c>
      <c r="F30" s="73" t="s">
        <v>10</v>
      </c>
      <c r="G30" s="102" t="s">
        <v>96</v>
      </c>
      <c r="H30" s="73" t="s">
        <v>10</v>
      </c>
      <c r="I30" s="74" t="s">
        <v>96</v>
      </c>
      <c r="J30" s="73" t="s">
        <v>10</v>
      </c>
      <c r="K30" s="102" t="s">
        <v>96</v>
      </c>
      <c r="L30" s="96" t="s">
        <v>10</v>
      </c>
      <c r="M30" s="102" t="s">
        <v>96</v>
      </c>
      <c r="N30" s="85"/>
      <c r="O30" s="85"/>
      <c r="P30" s="85"/>
      <c r="Q30" s="85"/>
      <c r="R30" s="85"/>
    </row>
    <row r="31" spans="1:18" ht="21" customHeight="1">
      <c r="A31" s="84" t="s">
        <v>63</v>
      </c>
      <c r="B31" s="79">
        <v>359534</v>
      </c>
      <c r="C31" s="79"/>
      <c r="D31" s="79"/>
      <c r="E31" s="79"/>
      <c r="F31" s="79">
        <v>608000</v>
      </c>
      <c r="G31" s="79"/>
      <c r="H31" s="79">
        <f>1403000+94000+158000</f>
        <v>1655000</v>
      </c>
      <c r="I31" s="79"/>
      <c r="J31" s="79">
        <f>+B31+D31+F31+H31</f>
        <v>2622534</v>
      </c>
      <c r="K31" s="79">
        <f t="shared" si="3"/>
        <v>0</v>
      </c>
      <c r="L31" s="98">
        <f t="shared" si="4"/>
        <v>2622534</v>
      </c>
      <c r="M31" s="84"/>
      <c r="N31" s="85"/>
      <c r="O31" s="85"/>
      <c r="P31" s="85"/>
      <c r="Q31" s="85"/>
      <c r="R31" s="85"/>
    </row>
    <row r="32" spans="1:18" ht="21" customHeight="1">
      <c r="A32" s="84" t="s">
        <v>53</v>
      </c>
      <c r="B32" s="79">
        <v>212130.66</v>
      </c>
      <c r="C32" s="79"/>
      <c r="D32" s="79">
        <v>95006</v>
      </c>
      <c r="E32" s="79"/>
      <c r="F32" s="79">
        <v>106302</v>
      </c>
      <c r="G32" s="79"/>
      <c r="H32" s="79"/>
      <c r="I32" s="79"/>
      <c r="J32" s="79">
        <f t="shared" si="2"/>
        <v>413438.66000000003</v>
      </c>
      <c r="K32" s="79">
        <f t="shared" si="3"/>
        <v>0</v>
      </c>
      <c r="L32" s="98">
        <f t="shared" si="4"/>
        <v>413438.66000000003</v>
      </c>
      <c r="M32" s="84"/>
      <c r="N32" s="85"/>
      <c r="O32" s="85"/>
      <c r="P32" s="85"/>
      <c r="Q32" s="85"/>
      <c r="R32" s="85"/>
    </row>
    <row r="33" spans="1:18" ht="21" customHeight="1">
      <c r="A33" s="84" t="s">
        <v>61</v>
      </c>
      <c r="B33" s="79">
        <v>437000</v>
      </c>
      <c r="C33" s="79"/>
      <c r="D33" s="79"/>
      <c r="E33" s="79"/>
      <c r="F33" s="79">
        <f>30000</f>
        <v>30000</v>
      </c>
      <c r="G33" s="79"/>
      <c r="H33" s="79"/>
      <c r="I33" s="79">
        <v>20000</v>
      </c>
      <c r="J33" s="79">
        <f t="shared" si="2"/>
        <v>467000</v>
      </c>
      <c r="K33" s="79">
        <f t="shared" si="3"/>
        <v>20000</v>
      </c>
      <c r="L33" s="98">
        <f>+J33-K33</f>
        <v>447000</v>
      </c>
      <c r="M33" s="84"/>
      <c r="N33" s="85"/>
      <c r="O33" s="85"/>
      <c r="P33" s="85"/>
      <c r="Q33" s="85"/>
      <c r="R33" s="85"/>
    </row>
    <row r="34" spans="1:18" ht="21" customHeight="1">
      <c r="A34" s="84" t="s">
        <v>164</v>
      </c>
      <c r="B34" s="79"/>
      <c r="C34" s="79">
        <v>854797.61</v>
      </c>
      <c r="D34" s="79"/>
      <c r="E34" s="79"/>
      <c r="F34" s="79"/>
      <c r="G34" s="79"/>
      <c r="H34" s="79"/>
      <c r="I34" s="79"/>
      <c r="J34" s="79">
        <f>+B34+D34+F34+H34</f>
        <v>0</v>
      </c>
      <c r="K34" s="79">
        <f>+C34+E34+G34+I34</f>
        <v>854797.61</v>
      </c>
      <c r="L34" s="84"/>
      <c r="M34" s="98">
        <f>+K34-J34</f>
        <v>854797.61</v>
      </c>
      <c r="N34" s="85"/>
      <c r="O34" s="85"/>
      <c r="P34" s="85"/>
      <c r="Q34" s="85"/>
      <c r="R34" s="85"/>
    </row>
    <row r="35" spans="1:18" ht="21" customHeight="1">
      <c r="A35" s="84" t="s">
        <v>165</v>
      </c>
      <c r="B35" s="79">
        <v>9670</v>
      </c>
      <c r="C35" s="79"/>
      <c r="D35" s="79"/>
      <c r="E35" s="79"/>
      <c r="F35" s="79"/>
      <c r="G35" s="79"/>
      <c r="H35" s="79"/>
      <c r="I35" s="79"/>
      <c r="J35" s="79">
        <f>+B35+D35+F35+H35</f>
        <v>9670</v>
      </c>
      <c r="K35" s="79">
        <f>+C35+E35+G35+I35</f>
        <v>0</v>
      </c>
      <c r="L35" s="123">
        <f>+J35-K35</f>
        <v>9670</v>
      </c>
      <c r="M35" s="84"/>
      <c r="N35" s="85"/>
      <c r="O35" s="85"/>
      <c r="P35" s="85"/>
      <c r="Q35" s="85"/>
      <c r="R35" s="85"/>
    </row>
    <row r="36" spans="1:18" ht="21" customHeight="1">
      <c r="A36" s="103" t="s">
        <v>64</v>
      </c>
      <c r="B36" s="94"/>
      <c r="C36" s="94">
        <v>866285.03</v>
      </c>
      <c r="D36" s="94"/>
      <c r="E36" s="94"/>
      <c r="F36" s="94"/>
      <c r="G36" s="94"/>
      <c r="H36" s="94">
        <f>3600+676485.03</f>
        <v>680085.03</v>
      </c>
      <c r="I36" s="94">
        <f>1698000+158000</f>
        <v>1856000</v>
      </c>
      <c r="J36" s="94">
        <f t="shared" ref="J36:J64" si="6">+B36+D36+F36+H36</f>
        <v>680085.03</v>
      </c>
      <c r="K36" s="94">
        <f t="shared" ref="K36:K64" si="7">+C36+E36+G36+I36</f>
        <v>2722285.0300000003</v>
      </c>
      <c r="L36" s="104"/>
      <c r="M36" s="105">
        <f>+K36-J36</f>
        <v>2042200.0000000002</v>
      </c>
      <c r="N36" s="85"/>
      <c r="O36" s="85"/>
      <c r="P36" s="85"/>
      <c r="Q36" s="85"/>
      <c r="R36" s="85"/>
    </row>
    <row r="37" spans="1:18" ht="21" customHeight="1">
      <c r="A37" s="88" t="s">
        <v>18</v>
      </c>
      <c r="B37" s="79"/>
      <c r="C37" s="79">
        <v>0</v>
      </c>
      <c r="D37" s="79">
        <v>392513.73</v>
      </c>
      <c r="E37" s="79">
        <v>392513.73</v>
      </c>
      <c r="F37" s="79">
        <f>1270848.3+789.24</f>
        <v>1271637.54</v>
      </c>
      <c r="G37" s="79">
        <f>1270848.3+789.24</f>
        <v>1271637.54</v>
      </c>
      <c r="H37" s="79">
        <v>600</v>
      </c>
      <c r="I37" s="79">
        <v>600</v>
      </c>
      <c r="J37" s="79">
        <f t="shared" si="6"/>
        <v>1664751.27</v>
      </c>
      <c r="K37" s="79">
        <f t="shared" si="7"/>
        <v>1664751.27</v>
      </c>
      <c r="L37" s="84"/>
      <c r="M37" s="98">
        <f>+J37-K37</f>
        <v>0</v>
      </c>
      <c r="N37" s="85"/>
      <c r="O37" s="85"/>
      <c r="P37" s="85"/>
      <c r="Q37" s="85"/>
      <c r="R37" s="85"/>
    </row>
    <row r="38" spans="1:18" ht="21" customHeight="1">
      <c r="A38" s="88" t="s">
        <v>19</v>
      </c>
      <c r="B38" s="79"/>
      <c r="C38" s="79">
        <v>78021.929999999993</v>
      </c>
      <c r="D38" s="79"/>
      <c r="E38" s="79"/>
      <c r="F38" s="79"/>
      <c r="G38" s="79"/>
      <c r="H38" s="79"/>
      <c r="I38" s="79"/>
      <c r="J38" s="79">
        <f t="shared" si="6"/>
        <v>0</v>
      </c>
      <c r="K38" s="79">
        <f t="shared" si="7"/>
        <v>78021.929999999993</v>
      </c>
      <c r="L38" s="84"/>
      <c r="M38" s="98">
        <f>+K38-J38</f>
        <v>78021.929999999993</v>
      </c>
      <c r="N38" s="85"/>
      <c r="O38" s="208"/>
      <c r="P38" s="85"/>
      <c r="Q38" s="85"/>
      <c r="R38" s="85"/>
    </row>
    <row r="39" spans="1:18" ht="21" customHeight="1">
      <c r="A39" s="88" t="s">
        <v>20</v>
      </c>
      <c r="B39" s="79"/>
      <c r="C39" s="79">
        <v>244738.39</v>
      </c>
      <c r="D39" s="79"/>
      <c r="E39" s="79">
        <v>6726.62</v>
      </c>
      <c r="F39" s="79"/>
      <c r="G39" s="79">
        <f>6394.65+789.24</f>
        <v>7183.8899999999994</v>
      </c>
      <c r="H39" s="79"/>
      <c r="I39" s="79"/>
      <c r="J39" s="79">
        <f t="shared" si="6"/>
        <v>0</v>
      </c>
      <c r="K39" s="79">
        <f t="shared" si="7"/>
        <v>258648.90000000002</v>
      </c>
      <c r="L39" s="84"/>
      <c r="M39" s="98">
        <f t="shared" ref="M39:M69" si="8">+K39-J39</f>
        <v>258648.90000000002</v>
      </c>
      <c r="N39" s="85"/>
      <c r="O39" s="85"/>
      <c r="P39" s="85"/>
      <c r="Q39" s="85"/>
      <c r="R39" s="85"/>
    </row>
    <row r="40" spans="1:18" ht="21" customHeight="1">
      <c r="A40" s="88" t="s">
        <v>21</v>
      </c>
      <c r="B40" s="79"/>
      <c r="C40" s="79">
        <v>3060</v>
      </c>
      <c r="D40" s="81"/>
      <c r="E40" s="79"/>
      <c r="F40" s="79"/>
      <c r="G40" s="79"/>
      <c r="H40" s="79"/>
      <c r="I40" s="79"/>
      <c r="J40" s="79">
        <f t="shared" si="6"/>
        <v>0</v>
      </c>
      <c r="K40" s="79">
        <f t="shared" si="7"/>
        <v>3060</v>
      </c>
      <c r="L40" s="84"/>
      <c r="M40" s="98">
        <f t="shared" si="8"/>
        <v>3060</v>
      </c>
      <c r="N40" s="85"/>
      <c r="O40" s="85"/>
      <c r="P40" s="85"/>
      <c r="Q40" s="85"/>
      <c r="R40" s="85"/>
    </row>
    <row r="41" spans="1:18" ht="21" customHeight="1">
      <c r="A41" s="88" t="s">
        <v>22</v>
      </c>
      <c r="B41" s="79"/>
      <c r="C41" s="79">
        <v>1640</v>
      </c>
      <c r="D41" s="79"/>
      <c r="E41" s="79">
        <v>130</v>
      </c>
      <c r="F41" s="79"/>
      <c r="G41" s="79">
        <v>150</v>
      </c>
      <c r="H41" s="79"/>
      <c r="I41" s="79"/>
      <c r="J41" s="79">
        <f t="shared" si="6"/>
        <v>0</v>
      </c>
      <c r="K41" s="79">
        <f t="shared" si="7"/>
        <v>1920</v>
      </c>
      <c r="L41" s="84"/>
      <c r="M41" s="98">
        <f t="shared" si="8"/>
        <v>1920</v>
      </c>
      <c r="N41" s="85"/>
      <c r="O41" s="208"/>
      <c r="P41" s="85"/>
      <c r="Q41" s="85"/>
      <c r="R41" s="85"/>
    </row>
    <row r="42" spans="1:18" ht="21" customHeight="1">
      <c r="A42" s="88" t="s">
        <v>166</v>
      </c>
      <c r="B42" s="79"/>
      <c r="C42" s="79">
        <v>2952</v>
      </c>
      <c r="D42" s="79"/>
      <c r="E42" s="79">
        <v>234</v>
      </c>
      <c r="F42" s="79"/>
      <c r="G42" s="79">
        <v>270</v>
      </c>
      <c r="H42" s="79"/>
      <c r="I42" s="79"/>
      <c r="J42" s="79">
        <f t="shared" si="6"/>
        <v>0</v>
      </c>
      <c r="K42" s="79">
        <f t="shared" si="7"/>
        <v>3456</v>
      </c>
      <c r="L42" s="84"/>
      <c r="M42" s="98">
        <f t="shared" si="8"/>
        <v>3456</v>
      </c>
      <c r="N42" s="85"/>
      <c r="O42" s="85"/>
      <c r="P42" s="85"/>
      <c r="Q42" s="85"/>
      <c r="R42" s="85"/>
    </row>
    <row r="43" spans="1:18" ht="21" customHeight="1">
      <c r="A43" s="88" t="s">
        <v>167</v>
      </c>
      <c r="B43" s="79"/>
      <c r="C43" s="79">
        <v>30</v>
      </c>
      <c r="D43" s="79"/>
      <c r="E43" s="79"/>
      <c r="F43" s="79"/>
      <c r="G43" s="79"/>
      <c r="H43" s="79"/>
      <c r="I43" s="79"/>
      <c r="J43" s="79">
        <f t="shared" si="6"/>
        <v>0</v>
      </c>
      <c r="K43" s="79">
        <f t="shared" si="7"/>
        <v>30</v>
      </c>
      <c r="L43" s="84"/>
      <c r="M43" s="98">
        <f t="shared" si="8"/>
        <v>30</v>
      </c>
      <c r="N43" s="85"/>
      <c r="O43" s="85"/>
      <c r="P43" s="85"/>
      <c r="Q43" s="85"/>
      <c r="R43" s="85"/>
    </row>
    <row r="44" spans="1:18" ht="21" customHeight="1">
      <c r="A44" s="88" t="s">
        <v>168</v>
      </c>
      <c r="B44" s="79"/>
      <c r="C44" s="79">
        <v>0</v>
      </c>
      <c r="D44" s="79"/>
      <c r="E44" s="79"/>
      <c r="F44" s="79"/>
      <c r="G44" s="79"/>
      <c r="H44" s="79"/>
      <c r="I44" s="83"/>
      <c r="J44" s="79">
        <f t="shared" si="6"/>
        <v>0</v>
      </c>
      <c r="K44" s="79">
        <f t="shared" si="7"/>
        <v>0</v>
      </c>
      <c r="L44" s="84"/>
      <c r="M44" s="98">
        <f t="shared" si="8"/>
        <v>0</v>
      </c>
      <c r="N44" s="85"/>
      <c r="O44" s="85"/>
      <c r="P44" s="85"/>
      <c r="Q44" s="85"/>
      <c r="R44" s="85"/>
    </row>
    <row r="45" spans="1:18" ht="21" customHeight="1">
      <c r="A45" s="88" t="s">
        <v>169</v>
      </c>
      <c r="B45" s="79"/>
      <c r="C45" s="79">
        <v>3089</v>
      </c>
      <c r="D45" s="79"/>
      <c r="E45" s="79"/>
      <c r="F45" s="79"/>
      <c r="G45" s="79"/>
      <c r="H45" s="79"/>
      <c r="I45" s="79"/>
      <c r="J45" s="79">
        <f t="shared" si="6"/>
        <v>0</v>
      </c>
      <c r="K45" s="79">
        <f t="shared" si="7"/>
        <v>3089</v>
      </c>
      <c r="L45" s="84"/>
      <c r="M45" s="98">
        <f t="shared" si="8"/>
        <v>3089</v>
      </c>
      <c r="N45" s="85"/>
      <c r="O45" s="85"/>
      <c r="P45" s="85"/>
      <c r="Q45" s="85"/>
      <c r="R45" s="85"/>
    </row>
    <row r="46" spans="1:18" ht="21" customHeight="1">
      <c r="A46" s="88" t="s">
        <v>170</v>
      </c>
      <c r="B46" s="79"/>
      <c r="C46" s="79">
        <v>1610</v>
      </c>
      <c r="D46" s="79"/>
      <c r="E46" s="79"/>
      <c r="F46" s="79"/>
      <c r="G46" s="79">
        <v>500</v>
      </c>
      <c r="H46" s="79"/>
      <c r="I46" s="79"/>
      <c r="J46" s="79">
        <f t="shared" si="6"/>
        <v>0</v>
      </c>
      <c r="K46" s="79">
        <f t="shared" si="7"/>
        <v>2110</v>
      </c>
      <c r="L46" s="84"/>
      <c r="M46" s="98">
        <f t="shared" si="8"/>
        <v>2110</v>
      </c>
      <c r="N46" s="85"/>
      <c r="O46" s="85"/>
      <c r="P46" s="85"/>
      <c r="Q46" s="85"/>
      <c r="R46" s="85"/>
    </row>
    <row r="47" spans="1:18" ht="21" customHeight="1">
      <c r="A47" s="88" t="s">
        <v>28</v>
      </c>
      <c r="B47" s="79"/>
      <c r="C47" s="79">
        <v>527531</v>
      </c>
      <c r="D47" s="79"/>
      <c r="E47" s="79"/>
      <c r="F47" s="79"/>
      <c r="G47" s="79">
        <v>12882</v>
      </c>
      <c r="H47" s="79"/>
      <c r="I47" s="79"/>
      <c r="J47" s="79">
        <f t="shared" si="6"/>
        <v>0</v>
      </c>
      <c r="K47" s="79">
        <f t="shared" si="7"/>
        <v>540413</v>
      </c>
      <c r="L47" s="84"/>
      <c r="M47" s="98">
        <f t="shared" si="8"/>
        <v>540413</v>
      </c>
      <c r="N47" s="85"/>
      <c r="O47" s="85"/>
      <c r="P47" s="85"/>
      <c r="Q47" s="85"/>
      <c r="R47" s="85"/>
    </row>
    <row r="48" spans="1:18" ht="21" customHeight="1">
      <c r="A48" s="88" t="s">
        <v>171</v>
      </c>
      <c r="B48" s="79"/>
      <c r="C48" s="79">
        <v>97486.61</v>
      </c>
      <c r="D48" s="79"/>
      <c r="E48" s="79"/>
      <c r="F48" s="79"/>
      <c r="G48" s="79">
        <v>25678.46</v>
      </c>
      <c r="H48" s="79"/>
      <c r="I48" s="79"/>
      <c r="J48" s="79">
        <f t="shared" si="6"/>
        <v>0</v>
      </c>
      <c r="K48" s="79">
        <f t="shared" si="7"/>
        <v>123165.07</v>
      </c>
      <c r="L48" s="84"/>
      <c r="M48" s="98">
        <f t="shared" si="8"/>
        <v>123165.07</v>
      </c>
      <c r="N48" s="85"/>
      <c r="O48" s="85"/>
      <c r="P48" s="85"/>
      <c r="Q48" s="85"/>
      <c r="R48" s="85"/>
    </row>
    <row r="49" spans="1:18" ht="21" customHeight="1">
      <c r="A49" s="88" t="s">
        <v>172</v>
      </c>
      <c r="B49" s="79"/>
      <c r="C49" s="79">
        <v>22400</v>
      </c>
      <c r="D49" s="79"/>
      <c r="E49" s="79"/>
      <c r="F49" s="79"/>
      <c r="G49" s="79"/>
      <c r="H49" s="79"/>
      <c r="I49" s="79"/>
      <c r="J49" s="79">
        <f t="shared" si="6"/>
        <v>0</v>
      </c>
      <c r="K49" s="79">
        <f t="shared" si="7"/>
        <v>22400</v>
      </c>
      <c r="L49" s="84"/>
      <c r="M49" s="98">
        <f t="shared" si="8"/>
        <v>22400</v>
      </c>
      <c r="N49" s="85"/>
      <c r="O49" s="85"/>
      <c r="P49" s="85"/>
      <c r="Q49" s="85"/>
      <c r="R49" s="85"/>
    </row>
    <row r="50" spans="1:18" ht="21" customHeight="1">
      <c r="A50" s="88" t="s">
        <v>173</v>
      </c>
      <c r="B50" s="79"/>
      <c r="C50" s="79">
        <v>130</v>
      </c>
      <c r="D50" s="79"/>
      <c r="E50" s="79"/>
      <c r="F50" s="79"/>
      <c r="G50" s="79">
        <v>20</v>
      </c>
      <c r="H50" s="79"/>
      <c r="I50" s="79"/>
      <c r="J50" s="79">
        <f t="shared" si="6"/>
        <v>0</v>
      </c>
      <c r="K50" s="79">
        <f t="shared" si="7"/>
        <v>150</v>
      </c>
      <c r="L50" s="84"/>
      <c r="M50" s="98">
        <f t="shared" si="8"/>
        <v>150</v>
      </c>
      <c r="N50" s="85"/>
      <c r="O50" s="85"/>
      <c r="P50" s="85"/>
      <c r="Q50" s="85"/>
      <c r="R50" s="85"/>
    </row>
    <row r="51" spans="1:18" ht="21" customHeight="1">
      <c r="A51" s="88" t="s">
        <v>174</v>
      </c>
      <c r="B51" s="79"/>
      <c r="C51" s="79">
        <v>24456</v>
      </c>
      <c r="D51" s="79"/>
      <c r="E51" s="79">
        <v>3812</v>
      </c>
      <c r="F51" s="79"/>
      <c r="G51" s="79">
        <v>3710</v>
      </c>
      <c r="H51" s="79"/>
      <c r="I51" s="79"/>
      <c r="J51" s="79">
        <f t="shared" si="6"/>
        <v>0</v>
      </c>
      <c r="K51" s="79">
        <f t="shared" si="7"/>
        <v>31978</v>
      </c>
      <c r="L51" s="84"/>
      <c r="M51" s="98">
        <f t="shared" si="8"/>
        <v>31978</v>
      </c>
      <c r="N51" s="85"/>
      <c r="O51" s="85"/>
      <c r="P51" s="85"/>
      <c r="Q51" s="85"/>
      <c r="R51" s="85"/>
    </row>
    <row r="52" spans="1:18" ht="21" customHeight="1">
      <c r="A52" s="88" t="s">
        <v>175</v>
      </c>
      <c r="B52" s="79"/>
      <c r="C52" s="79">
        <v>150</v>
      </c>
      <c r="D52" s="79"/>
      <c r="E52" s="79">
        <v>182300</v>
      </c>
      <c r="F52" s="79"/>
      <c r="G52" s="79"/>
      <c r="H52" s="79">
        <v>600</v>
      </c>
      <c r="I52" s="79"/>
      <c r="J52" s="79">
        <f t="shared" si="6"/>
        <v>600</v>
      </c>
      <c r="K52" s="79">
        <f t="shared" si="7"/>
        <v>182450</v>
      </c>
      <c r="L52" s="84"/>
      <c r="M52" s="98">
        <f t="shared" si="8"/>
        <v>181850</v>
      </c>
      <c r="N52" s="85"/>
      <c r="O52" s="85"/>
      <c r="P52" s="85"/>
      <c r="Q52" s="85"/>
      <c r="R52" s="85"/>
    </row>
    <row r="53" spans="1:18" ht="21" customHeight="1">
      <c r="A53" s="88" t="s">
        <v>176</v>
      </c>
      <c r="B53" s="79"/>
      <c r="C53" s="79">
        <v>2642544.48</v>
      </c>
      <c r="D53" s="79"/>
      <c r="E53" s="79">
        <v>142666.41</v>
      </c>
      <c r="F53" s="79"/>
      <c r="G53" s="79"/>
      <c r="H53" s="79"/>
      <c r="I53" s="79"/>
      <c r="J53" s="79">
        <f t="shared" si="6"/>
        <v>0</v>
      </c>
      <c r="K53" s="79">
        <f t="shared" si="7"/>
        <v>2785210.89</v>
      </c>
      <c r="L53" s="84"/>
      <c r="M53" s="98">
        <f t="shared" si="8"/>
        <v>2785210.89</v>
      </c>
      <c r="N53" s="85"/>
      <c r="O53" s="85"/>
      <c r="P53" s="85"/>
      <c r="Q53" s="85"/>
      <c r="R53" s="85"/>
    </row>
    <row r="54" spans="1:18" ht="21" customHeight="1">
      <c r="A54" s="88" t="s">
        <v>177</v>
      </c>
      <c r="B54" s="79"/>
      <c r="C54" s="79">
        <v>1480276.32</v>
      </c>
      <c r="D54" s="79"/>
      <c r="E54" s="79"/>
      <c r="F54" s="79"/>
      <c r="G54" s="79">
        <v>887822.22</v>
      </c>
      <c r="H54" s="79"/>
      <c r="I54" s="79"/>
      <c r="J54" s="79">
        <f>+B54+D54+F54+H54</f>
        <v>0</v>
      </c>
      <c r="K54" s="79">
        <f>+C54+E54+G54+I54</f>
        <v>2368098.54</v>
      </c>
      <c r="L54" s="84"/>
      <c r="M54" s="98">
        <f>+K54-J54</f>
        <v>2368098.54</v>
      </c>
      <c r="N54" s="85"/>
      <c r="O54" s="85"/>
      <c r="P54" s="85"/>
      <c r="Q54" s="85"/>
      <c r="R54" s="85"/>
    </row>
    <row r="55" spans="1:18" ht="21" customHeight="1">
      <c r="A55" s="124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125"/>
      <c r="M55" s="126"/>
      <c r="N55" s="85"/>
      <c r="O55" s="85"/>
      <c r="P55" s="85"/>
      <c r="Q55" s="85"/>
      <c r="R55" s="85"/>
    </row>
    <row r="56" spans="1:18" s="214" customFormat="1" ht="21" customHeight="1">
      <c r="A56" s="211" t="s">
        <v>217</v>
      </c>
      <c r="B56" s="212">
        <f>SUM(B28:B54)</f>
        <v>35476226.009999998</v>
      </c>
      <c r="C56" s="212">
        <f t="shared" ref="C56:M56" si="9">SUM(C28:C54)</f>
        <v>6851198.3700000001</v>
      </c>
      <c r="D56" s="212">
        <f t="shared" si="9"/>
        <v>1200195.1400000001</v>
      </c>
      <c r="E56" s="212">
        <f t="shared" si="9"/>
        <v>1145422.95</v>
      </c>
      <c r="F56" s="212">
        <f t="shared" si="9"/>
        <v>6164169.1200000001</v>
      </c>
      <c r="G56" s="212">
        <f t="shared" si="9"/>
        <v>5473378.6099999994</v>
      </c>
      <c r="H56" s="212">
        <f t="shared" si="9"/>
        <v>2799481.2700000005</v>
      </c>
      <c r="I56" s="212">
        <f t="shared" si="9"/>
        <v>2176615.21</v>
      </c>
      <c r="J56" s="212">
        <f t="shared" si="9"/>
        <v>45640071.539999999</v>
      </c>
      <c r="K56" s="212">
        <f t="shared" si="9"/>
        <v>15646615.140000001</v>
      </c>
      <c r="L56" s="212">
        <f t="shared" si="9"/>
        <v>39294055.340000004</v>
      </c>
      <c r="M56" s="212">
        <f t="shared" si="9"/>
        <v>9300598.9400000013</v>
      </c>
      <c r="N56" s="213"/>
      <c r="O56" s="213"/>
      <c r="P56" s="213"/>
      <c r="Q56" s="213"/>
      <c r="R56" s="213"/>
    </row>
    <row r="57" spans="1:18" ht="21" customHeight="1">
      <c r="A57" s="72" t="s">
        <v>210</v>
      </c>
      <c r="B57" s="323" t="s">
        <v>216</v>
      </c>
      <c r="C57" s="324"/>
      <c r="D57" s="323" t="s">
        <v>212</v>
      </c>
      <c r="E57" s="324"/>
      <c r="F57" s="323" t="s">
        <v>213</v>
      </c>
      <c r="G57" s="324"/>
      <c r="H57" s="323" t="s">
        <v>211</v>
      </c>
      <c r="I57" s="324"/>
      <c r="J57" s="323" t="s">
        <v>214</v>
      </c>
      <c r="K57" s="324"/>
      <c r="L57" s="323" t="s">
        <v>217</v>
      </c>
      <c r="M57" s="307"/>
      <c r="N57" s="85"/>
      <c r="O57" s="85"/>
      <c r="P57" s="85"/>
      <c r="Q57" s="85"/>
      <c r="R57" s="85"/>
    </row>
    <row r="58" spans="1:18" ht="21" customHeight="1">
      <c r="A58" s="101"/>
      <c r="B58" s="73" t="s">
        <v>10</v>
      </c>
      <c r="C58" s="102" t="s">
        <v>96</v>
      </c>
      <c r="D58" s="73" t="s">
        <v>10</v>
      </c>
      <c r="E58" s="102" t="s">
        <v>96</v>
      </c>
      <c r="F58" s="73" t="s">
        <v>10</v>
      </c>
      <c r="G58" s="102" t="s">
        <v>96</v>
      </c>
      <c r="H58" s="73" t="s">
        <v>10</v>
      </c>
      <c r="I58" s="74" t="s">
        <v>96</v>
      </c>
      <c r="J58" s="73" t="s">
        <v>10</v>
      </c>
      <c r="K58" s="102" t="s">
        <v>96</v>
      </c>
      <c r="L58" s="96" t="s">
        <v>10</v>
      </c>
      <c r="M58" s="102" t="s">
        <v>96</v>
      </c>
      <c r="N58" s="85"/>
      <c r="O58" s="85"/>
      <c r="P58" s="85"/>
      <c r="Q58" s="85"/>
      <c r="R58" s="85"/>
    </row>
    <row r="59" spans="1:18" ht="21" customHeight="1">
      <c r="A59" s="88" t="s">
        <v>38</v>
      </c>
      <c r="B59" s="79"/>
      <c r="C59" s="79">
        <v>108491.86</v>
      </c>
      <c r="D59" s="79"/>
      <c r="E59" s="79"/>
      <c r="F59" s="79"/>
      <c r="G59" s="79"/>
      <c r="H59" s="79"/>
      <c r="I59" s="79"/>
      <c r="J59" s="79">
        <f t="shared" si="6"/>
        <v>0</v>
      </c>
      <c r="K59" s="79">
        <f t="shared" si="7"/>
        <v>108491.86</v>
      </c>
      <c r="L59" s="84"/>
      <c r="M59" s="98">
        <f t="shared" si="8"/>
        <v>108491.86</v>
      </c>
      <c r="N59" s="85"/>
      <c r="O59" s="85"/>
      <c r="P59" s="85"/>
      <c r="Q59" s="85"/>
      <c r="R59" s="85"/>
    </row>
    <row r="60" spans="1:18" ht="21" customHeight="1">
      <c r="A60" s="88" t="s">
        <v>39</v>
      </c>
      <c r="B60" s="79"/>
      <c r="C60" s="79">
        <v>360681.89</v>
      </c>
      <c r="D60" s="79"/>
      <c r="E60" s="79">
        <v>11305.34</v>
      </c>
      <c r="F60" s="79"/>
      <c r="G60" s="79">
        <v>109652.53</v>
      </c>
      <c r="H60" s="79"/>
      <c r="I60" s="79"/>
      <c r="J60" s="79">
        <f t="shared" si="6"/>
        <v>0</v>
      </c>
      <c r="K60" s="79">
        <f t="shared" si="7"/>
        <v>481639.76</v>
      </c>
      <c r="L60" s="84"/>
      <c r="M60" s="98">
        <f t="shared" si="8"/>
        <v>481639.76</v>
      </c>
      <c r="N60" s="85"/>
      <c r="O60" s="85"/>
      <c r="P60" s="85"/>
      <c r="Q60" s="85"/>
      <c r="R60" s="85"/>
    </row>
    <row r="61" spans="1:18" ht="21" customHeight="1">
      <c r="A61" s="88" t="s">
        <v>40</v>
      </c>
      <c r="B61" s="79"/>
      <c r="C61" s="79">
        <v>552376.43999999994</v>
      </c>
      <c r="D61" s="79"/>
      <c r="E61" s="79">
        <v>42374.29</v>
      </c>
      <c r="F61" s="79"/>
      <c r="G61" s="79">
        <v>236650.44</v>
      </c>
      <c r="H61" s="79"/>
      <c r="I61" s="79"/>
      <c r="J61" s="79">
        <f t="shared" si="6"/>
        <v>0</v>
      </c>
      <c r="K61" s="79">
        <f t="shared" si="7"/>
        <v>831401.16999999993</v>
      </c>
      <c r="L61" s="84"/>
      <c r="M61" s="98">
        <f t="shared" si="8"/>
        <v>831401.16999999993</v>
      </c>
      <c r="N61" s="85"/>
      <c r="O61" s="85"/>
      <c r="P61" s="85"/>
      <c r="Q61" s="85"/>
      <c r="R61" s="85"/>
    </row>
    <row r="62" spans="1:18" ht="21" customHeight="1">
      <c r="A62" s="88" t="s">
        <v>41</v>
      </c>
      <c r="B62" s="79"/>
      <c r="C62" s="79">
        <v>3081.92</v>
      </c>
      <c r="D62" s="79"/>
      <c r="E62" s="79">
        <v>2965.07</v>
      </c>
      <c r="F62" s="79"/>
      <c r="G62" s="79"/>
      <c r="H62" s="79"/>
      <c r="I62" s="79"/>
      <c r="J62" s="79">
        <f t="shared" si="6"/>
        <v>0</v>
      </c>
      <c r="K62" s="79">
        <f t="shared" si="7"/>
        <v>6046.99</v>
      </c>
      <c r="L62" s="84"/>
      <c r="M62" s="98">
        <f t="shared" si="8"/>
        <v>6046.99</v>
      </c>
      <c r="N62" s="85"/>
      <c r="O62" s="85"/>
      <c r="P62" s="85"/>
      <c r="Q62" s="85"/>
      <c r="R62" s="85"/>
    </row>
    <row r="63" spans="1:18" ht="21" customHeight="1">
      <c r="A63" s="88" t="s">
        <v>42</v>
      </c>
      <c r="B63" s="79"/>
      <c r="C63" s="79">
        <v>26848.98</v>
      </c>
      <c r="D63" s="79"/>
      <c r="E63" s="79"/>
      <c r="F63" s="79"/>
      <c r="G63" s="79"/>
      <c r="H63" s="79"/>
      <c r="I63" s="79"/>
      <c r="J63" s="79">
        <f t="shared" si="6"/>
        <v>0</v>
      </c>
      <c r="K63" s="79">
        <f t="shared" si="7"/>
        <v>26848.98</v>
      </c>
      <c r="L63" s="84"/>
      <c r="M63" s="98">
        <f t="shared" si="8"/>
        <v>26848.98</v>
      </c>
      <c r="N63" s="85"/>
      <c r="O63" s="85"/>
      <c r="P63" s="85"/>
      <c r="Q63" s="85"/>
      <c r="R63" s="85"/>
    </row>
    <row r="64" spans="1:18" ht="21" customHeight="1">
      <c r="A64" s="89" t="s">
        <v>178</v>
      </c>
      <c r="B64" s="79"/>
      <c r="C64" s="79">
        <v>477077</v>
      </c>
      <c r="D64" s="79"/>
      <c r="E64" s="79"/>
      <c r="F64" s="79"/>
      <c r="G64" s="79"/>
      <c r="H64" s="79"/>
      <c r="I64" s="79"/>
      <c r="J64" s="79">
        <f t="shared" si="6"/>
        <v>0</v>
      </c>
      <c r="K64" s="79">
        <f t="shared" si="7"/>
        <v>477077</v>
      </c>
      <c r="L64" s="84"/>
      <c r="M64" s="98">
        <f t="shared" si="8"/>
        <v>477077</v>
      </c>
      <c r="N64" s="85"/>
      <c r="O64" s="85"/>
      <c r="P64" s="85"/>
      <c r="Q64" s="85"/>
      <c r="R64" s="85"/>
    </row>
    <row r="65" spans="1:18" ht="21" customHeight="1">
      <c r="A65" s="88" t="s">
        <v>23</v>
      </c>
      <c r="B65" s="79"/>
      <c r="C65" s="79">
        <v>139897.51999999999</v>
      </c>
      <c r="D65" s="79"/>
      <c r="E65" s="79"/>
      <c r="F65" s="79"/>
      <c r="G65" s="79"/>
      <c r="H65" s="79"/>
      <c r="I65" s="79"/>
      <c r="J65" s="79">
        <f t="shared" ref="J65:K69" si="10">+B65+D65+F65+H65</f>
        <v>0</v>
      </c>
      <c r="K65" s="79">
        <f t="shared" si="10"/>
        <v>139897.51999999999</v>
      </c>
      <c r="L65" s="84"/>
      <c r="M65" s="98">
        <f t="shared" si="8"/>
        <v>139897.51999999999</v>
      </c>
      <c r="N65" s="85"/>
      <c r="O65" s="85"/>
      <c r="P65" s="85"/>
      <c r="Q65" s="85"/>
      <c r="R65" s="85"/>
    </row>
    <row r="66" spans="1:18" ht="21" customHeight="1">
      <c r="A66" s="88" t="s">
        <v>179</v>
      </c>
      <c r="B66" s="79"/>
      <c r="C66" s="79">
        <v>6201090.7199999997</v>
      </c>
      <c r="D66" s="79"/>
      <c r="E66" s="79"/>
      <c r="F66" s="79"/>
      <c r="G66" s="79"/>
      <c r="H66" s="79"/>
      <c r="I66" s="79"/>
      <c r="J66" s="79">
        <f t="shared" si="10"/>
        <v>0</v>
      </c>
      <c r="K66" s="79">
        <f t="shared" si="10"/>
        <v>6201090.7199999997</v>
      </c>
      <c r="L66" s="84"/>
      <c r="M66" s="98">
        <f t="shared" si="8"/>
        <v>6201090.7199999997</v>
      </c>
      <c r="N66" s="85"/>
      <c r="O66" s="85"/>
      <c r="P66" s="85"/>
      <c r="Q66" s="85"/>
      <c r="R66" s="85"/>
    </row>
    <row r="67" spans="1:18" ht="21" customHeight="1">
      <c r="A67" s="88" t="s">
        <v>180</v>
      </c>
      <c r="B67" s="79"/>
      <c r="C67" s="79"/>
      <c r="D67" s="79"/>
      <c r="E67" s="79"/>
      <c r="F67" s="79"/>
      <c r="G67" s="79"/>
      <c r="H67" s="79"/>
      <c r="I67" s="79"/>
      <c r="J67" s="79">
        <f t="shared" si="10"/>
        <v>0</v>
      </c>
      <c r="K67" s="79">
        <f t="shared" si="10"/>
        <v>0</v>
      </c>
      <c r="L67" s="84"/>
      <c r="M67" s="98">
        <f t="shared" si="8"/>
        <v>0</v>
      </c>
      <c r="N67" s="85"/>
      <c r="O67" s="85"/>
      <c r="P67" s="85"/>
      <c r="Q67" s="85"/>
      <c r="R67" s="85"/>
    </row>
    <row r="68" spans="1:18" ht="21" customHeight="1">
      <c r="A68" s="88" t="s">
        <v>181</v>
      </c>
      <c r="B68" s="87"/>
      <c r="C68" s="87"/>
      <c r="D68" s="87"/>
      <c r="E68" s="87"/>
      <c r="F68" s="87"/>
      <c r="G68" s="87"/>
      <c r="H68" s="87"/>
      <c r="I68" s="87"/>
      <c r="J68" s="79">
        <f t="shared" si="10"/>
        <v>0</v>
      </c>
      <c r="K68" s="79">
        <f t="shared" si="10"/>
        <v>0</v>
      </c>
      <c r="L68" s="95"/>
      <c r="M68" s="98">
        <f t="shared" si="8"/>
        <v>0</v>
      </c>
      <c r="N68" s="85"/>
      <c r="O68" s="85"/>
      <c r="P68" s="85"/>
      <c r="Q68" s="85"/>
      <c r="R68" s="85"/>
    </row>
    <row r="69" spans="1:18" ht="21" customHeight="1">
      <c r="A69" s="88" t="s">
        <v>182</v>
      </c>
      <c r="B69" s="79"/>
      <c r="C69" s="79"/>
      <c r="D69" s="79"/>
      <c r="E69" s="79"/>
      <c r="F69" s="79"/>
      <c r="G69" s="79"/>
      <c r="H69" s="79"/>
      <c r="I69" s="79"/>
      <c r="J69" s="79">
        <f t="shared" si="10"/>
        <v>0</v>
      </c>
      <c r="K69" s="79">
        <f t="shared" si="10"/>
        <v>0</v>
      </c>
      <c r="L69" s="84"/>
      <c r="M69" s="98">
        <f t="shared" si="8"/>
        <v>0</v>
      </c>
      <c r="N69" s="85"/>
      <c r="O69" s="85"/>
      <c r="P69" s="85"/>
      <c r="Q69" s="85"/>
      <c r="R69" s="85"/>
    </row>
    <row r="70" spans="1:18" s="71" customFormat="1" ht="21" customHeight="1">
      <c r="A70" s="103" t="s">
        <v>183</v>
      </c>
      <c r="B70" s="94"/>
      <c r="C70" s="94"/>
      <c r="D70" s="94"/>
      <c r="E70" s="94"/>
      <c r="F70" s="94"/>
      <c r="G70" s="94"/>
      <c r="H70" s="94"/>
      <c r="I70" s="94"/>
      <c r="J70" s="94">
        <f t="shared" ref="J70:J100" si="11">+B70+D70+F70+H70</f>
        <v>0</v>
      </c>
      <c r="K70" s="94">
        <f t="shared" ref="K70:K100" si="12">+C70+E70+G70+I70</f>
        <v>0</v>
      </c>
      <c r="L70" s="104"/>
      <c r="M70" s="105">
        <f t="shared" ref="M70:M98" si="13">+K70-J70</f>
        <v>0</v>
      </c>
      <c r="N70" s="85"/>
      <c r="O70" s="85"/>
      <c r="P70" s="85"/>
      <c r="Q70" s="85"/>
      <c r="R70" s="85"/>
    </row>
    <row r="71" spans="1:18" s="71" customFormat="1" ht="21" customHeight="1">
      <c r="A71" s="88" t="s">
        <v>184</v>
      </c>
      <c r="B71" s="79"/>
      <c r="C71" s="79"/>
      <c r="D71" s="79"/>
      <c r="E71" s="79"/>
      <c r="F71" s="79"/>
      <c r="G71" s="79"/>
      <c r="H71" s="79"/>
      <c r="I71" s="79"/>
      <c r="J71" s="79">
        <f t="shared" si="11"/>
        <v>0</v>
      </c>
      <c r="K71" s="79">
        <f t="shared" si="12"/>
        <v>0</v>
      </c>
      <c r="L71" s="84"/>
      <c r="M71" s="98">
        <f t="shared" si="13"/>
        <v>0</v>
      </c>
      <c r="N71" s="85"/>
      <c r="O71" s="85"/>
      <c r="P71" s="85"/>
      <c r="Q71" s="85"/>
      <c r="R71" s="85"/>
    </row>
    <row r="72" spans="1:18" s="71" customFormat="1" ht="21" customHeight="1">
      <c r="A72" s="88" t="s">
        <v>185</v>
      </c>
      <c r="B72" s="79"/>
      <c r="C72" s="79"/>
      <c r="D72" s="79"/>
      <c r="E72" s="79"/>
      <c r="F72" s="79"/>
      <c r="G72" s="79"/>
      <c r="H72" s="79"/>
      <c r="I72" s="79"/>
      <c r="J72" s="79">
        <f t="shared" si="11"/>
        <v>0</v>
      </c>
      <c r="K72" s="79">
        <f t="shared" si="12"/>
        <v>0</v>
      </c>
      <c r="L72" s="84"/>
      <c r="M72" s="98">
        <f t="shared" si="13"/>
        <v>0</v>
      </c>
      <c r="N72" s="85"/>
      <c r="O72" s="85"/>
      <c r="P72" s="85"/>
      <c r="Q72" s="85"/>
      <c r="R72" s="85"/>
    </row>
    <row r="73" spans="1:18" s="71" customFormat="1" ht="21" customHeight="1">
      <c r="A73" s="88" t="s">
        <v>186</v>
      </c>
      <c r="B73" s="79"/>
      <c r="C73" s="79"/>
      <c r="D73" s="79"/>
      <c r="E73" s="79"/>
      <c r="F73" s="79"/>
      <c r="G73" s="79"/>
      <c r="H73" s="79"/>
      <c r="I73" s="79"/>
      <c r="J73" s="79">
        <f t="shared" si="11"/>
        <v>0</v>
      </c>
      <c r="K73" s="79">
        <f t="shared" si="12"/>
        <v>0</v>
      </c>
      <c r="L73" s="84"/>
      <c r="M73" s="98">
        <f t="shared" si="13"/>
        <v>0</v>
      </c>
      <c r="N73" s="85"/>
      <c r="O73" s="85"/>
      <c r="P73" s="85"/>
      <c r="Q73" s="85"/>
      <c r="R73" s="85"/>
    </row>
    <row r="74" spans="1:18" s="71" customFormat="1" ht="21" customHeight="1">
      <c r="A74" s="88" t="s">
        <v>187</v>
      </c>
      <c r="B74" s="79"/>
      <c r="C74" s="79"/>
      <c r="D74" s="81"/>
      <c r="E74" s="79"/>
      <c r="F74" s="79"/>
      <c r="G74" s="79"/>
      <c r="H74" s="79"/>
      <c r="I74" s="79"/>
      <c r="J74" s="79">
        <f t="shared" si="11"/>
        <v>0</v>
      </c>
      <c r="K74" s="79">
        <f t="shared" si="12"/>
        <v>0</v>
      </c>
      <c r="L74" s="84"/>
      <c r="M74" s="98">
        <f t="shared" si="13"/>
        <v>0</v>
      </c>
      <c r="N74" s="85"/>
      <c r="O74" s="85"/>
      <c r="P74" s="85"/>
      <c r="Q74" s="85"/>
      <c r="R74" s="85"/>
    </row>
    <row r="75" spans="1:18" s="71" customFormat="1" ht="21" customHeight="1">
      <c r="A75" s="88" t="s">
        <v>188</v>
      </c>
      <c r="B75" s="79"/>
      <c r="C75" s="79"/>
      <c r="D75" s="79"/>
      <c r="E75" s="79"/>
      <c r="F75" s="79"/>
      <c r="G75" s="79"/>
      <c r="H75" s="79"/>
      <c r="I75" s="79"/>
      <c r="J75" s="79">
        <f t="shared" si="11"/>
        <v>0</v>
      </c>
      <c r="K75" s="79">
        <f t="shared" si="12"/>
        <v>0</v>
      </c>
      <c r="L75" s="84"/>
      <c r="M75" s="98">
        <f t="shared" si="13"/>
        <v>0</v>
      </c>
      <c r="N75" s="85"/>
      <c r="O75" s="85"/>
      <c r="P75" s="85"/>
      <c r="Q75" s="85"/>
      <c r="R75" s="85"/>
    </row>
    <row r="76" spans="1:18" s="71" customFormat="1" ht="21" customHeight="1">
      <c r="A76" s="88" t="s">
        <v>189</v>
      </c>
      <c r="B76" s="79"/>
      <c r="C76" s="79"/>
      <c r="D76" s="79"/>
      <c r="E76" s="79"/>
      <c r="F76" s="79"/>
      <c r="G76" s="79"/>
      <c r="H76" s="79"/>
      <c r="I76" s="79"/>
      <c r="J76" s="79">
        <f t="shared" si="11"/>
        <v>0</v>
      </c>
      <c r="K76" s="79">
        <f t="shared" si="12"/>
        <v>0</v>
      </c>
      <c r="L76" s="84"/>
      <c r="M76" s="98">
        <f t="shared" si="13"/>
        <v>0</v>
      </c>
      <c r="N76" s="85"/>
      <c r="O76" s="85"/>
      <c r="P76" s="85"/>
      <c r="Q76" s="85"/>
      <c r="R76" s="85"/>
    </row>
    <row r="77" spans="1:18" s="71" customFormat="1" ht="21" customHeight="1">
      <c r="A77" s="88" t="s">
        <v>190</v>
      </c>
      <c r="B77" s="79"/>
      <c r="C77" s="79"/>
      <c r="D77" s="79"/>
      <c r="E77" s="79"/>
      <c r="F77" s="79"/>
      <c r="G77" s="79"/>
      <c r="H77" s="79"/>
      <c r="I77" s="79"/>
      <c r="J77" s="79">
        <f t="shared" si="11"/>
        <v>0</v>
      </c>
      <c r="K77" s="79">
        <f t="shared" si="12"/>
        <v>0</v>
      </c>
      <c r="L77" s="84"/>
      <c r="M77" s="98">
        <f t="shared" si="13"/>
        <v>0</v>
      </c>
      <c r="N77" s="85"/>
      <c r="O77" s="85"/>
      <c r="P77" s="85"/>
      <c r="Q77" s="85"/>
      <c r="R77" s="85"/>
    </row>
    <row r="78" spans="1:18" s="71" customFormat="1" ht="21" customHeight="1">
      <c r="A78" s="88" t="s">
        <v>191</v>
      </c>
      <c r="B78" s="79"/>
      <c r="C78" s="79"/>
      <c r="D78" s="79"/>
      <c r="E78" s="79"/>
      <c r="F78" s="79"/>
      <c r="G78" s="79"/>
      <c r="H78" s="79"/>
      <c r="I78" s="83"/>
      <c r="J78" s="79">
        <f t="shared" si="11"/>
        <v>0</v>
      </c>
      <c r="K78" s="79">
        <f t="shared" si="12"/>
        <v>0</v>
      </c>
      <c r="L78" s="84"/>
      <c r="M78" s="98">
        <f t="shared" si="13"/>
        <v>0</v>
      </c>
      <c r="N78" s="85"/>
      <c r="O78" s="85"/>
      <c r="P78" s="85"/>
      <c r="Q78" s="85"/>
      <c r="R78" s="85"/>
    </row>
    <row r="79" spans="1:18" s="71" customFormat="1" ht="21" customHeight="1">
      <c r="A79" s="88" t="s">
        <v>192</v>
      </c>
      <c r="B79" s="79"/>
      <c r="C79" s="79"/>
      <c r="D79" s="79"/>
      <c r="E79" s="79"/>
      <c r="F79" s="79"/>
      <c r="G79" s="79"/>
      <c r="H79" s="79"/>
      <c r="I79" s="79"/>
      <c r="J79" s="79">
        <f t="shared" si="11"/>
        <v>0</v>
      </c>
      <c r="K79" s="79">
        <f t="shared" si="12"/>
        <v>0</v>
      </c>
      <c r="L79" s="84"/>
      <c r="M79" s="98">
        <f t="shared" si="13"/>
        <v>0</v>
      </c>
      <c r="N79" s="85"/>
      <c r="O79" s="85"/>
      <c r="P79" s="85"/>
      <c r="Q79" s="85"/>
      <c r="R79" s="85"/>
    </row>
    <row r="80" spans="1:18" s="71" customFormat="1" ht="21" customHeight="1">
      <c r="A80" s="88" t="s">
        <v>193</v>
      </c>
      <c r="B80" s="79"/>
      <c r="C80" s="79">
        <v>10000</v>
      </c>
      <c r="D80" s="79"/>
      <c r="E80" s="79"/>
      <c r="F80" s="79"/>
      <c r="G80" s="79"/>
      <c r="H80" s="79"/>
      <c r="I80" s="79"/>
      <c r="J80" s="79">
        <f t="shared" si="11"/>
        <v>0</v>
      </c>
      <c r="K80" s="79">
        <f t="shared" si="12"/>
        <v>10000</v>
      </c>
      <c r="L80" s="84"/>
      <c r="M80" s="98">
        <f t="shared" si="13"/>
        <v>10000</v>
      </c>
      <c r="N80" s="85"/>
      <c r="O80" s="85"/>
      <c r="P80" s="85"/>
      <c r="Q80" s="85"/>
      <c r="R80" s="85"/>
    </row>
    <row r="81" spans="1:18" s="71" customFormat="1" ht="21" customHeight="1">
      <c r="A81" s="88" t="s">
        <v>194</v>
      </c>
      <c r="B81" s="79"/>
      <c r="C81" s="79"/>
      <c r="D81" s="79"/>
      <c r="E81" s="79"/>
      <c r="F81" s="79"/>
      <c r="G81" s="79"/>
      <c r="H81" s="79"/>
      <c r="I81" s="79"/>
      <c r="J81" s="79">
        <f t="shared" si="11"/>
        <v>0</v>
      </c>
      <c r="K81" s="79">
        <f t="shared" si="12"/>
        <v>0</v>
      </c>
      <c r="L81" s="84"/>
      <c r="M81" s="98">
        <f t="shared" si="13"/>
        <v>0</v>
      </c>
      <c r="N81" s="85"/>
      <c r="O81" s="85"/>
      <c r="P81" s="85"/>
      <c r="Q81" s="85"/>
      <c r="R81" s="85"/>
    </row>
    <row r="82" spans="1:18" s="71" customFormat="1" ht="21" customHeight="1">
      <c r="A82" s="88" t="s">
        <v>195</v>
      </c>
      <c r="B82" s="79"/>
      <c r="C82" s="79"/>
      <c r="D82" s="79"/>
      <c r="E82" s="79"/>
      <c r="F82" s="79"/>
      <c r="G82" s="79"/>
      <c r="H82" s="79"/>
      <c r="I82" s="79"/>
      <c r="J82" s="79">
        <f t="shared" si="11"/>
        <v>0</v>
      </c>
      <c r="K82" s="79">
        <f t="shared" si="12"/>
        <v>0</v>
      </c>
      <c r="L82" s="84"/>
      <c r="M82" s="98">
        <f t="shared" si="13"/>
        <v>0</v>
      </c>
      <c r="N82" s="85"/>
      <c r="O82" s="85"/>
      <c r="P82" s="85"/>
      <c r="Q82" s="85"/>
      <c r="R82" s="85"/>
    </row>
    <row r="83" spans="1:18" s="71" customFormat="1" ht="21" customHeight="1">
      <c r="A83" s="90" t="s">
        <v>196</v>
      </c>
      <c r="B83" s="87"/>
      <c r="C83" s="87">
        <v>1011255.95</v>
      </c>
      <c r="D83" s="87"/>
      <c r="E83" s="87"/>
      <c r="F83" s="87"/>
      <c r="G83" s="87"/>
      <c r="H83" s="87">
        <v>450000</v>
      </c>
      <c r="I83" s="87">
        <f>40000+1405.45+1443.48+1066.42+1401.95</f>
        <v>45317.299999999996</v>
      </c>
      <c r="J83" s="87">
        <f t="shared" si="11"/>
        <v>450000</v>
      </c>
      <c r="K83" s="87">
        <f t="shared" si="12"/>
        <v>1056573.25</v>
      </c>
      <c r="L83" s="86"/>
      <c r="M83" s="99">
        <f t="shared" si="13"/>
        <v>606573.25</v>
      </c>
      <c r="N83" s="85"/>
      <c r="O83" s="85"/>
      <c r="P83" s="85"/>
      <c r="Q83" s="85"/>
      <c r="R83" s="85"/>
    </row>
    <row r="84" spans="1:18" s="217" customFormat="1" ht="21" customHeight="1">
      <c r="A84" s="211" t="s">
        <v>217</v>
      </c>
      <c r="B84" s="215">
        <f>SUM(B56:B83)</f>
        <v>35476226.009999998</v>
      </c>
      <c r="C84" s="215">
        <f t="shared" ref="C84:M84" si="14">SUM(C56:C83)</f>
        <v>15742000.649999999</v>
      </c>
      <c r="D84" s="215">
        <f t="shared" si="14"/>
        <v>1200195.1400000001</v>
      </c>
      <c r="E84" s="215">
        <f t="shared" si="14"/>
        <v>1202067.6500000001</v>
      </c>
      <c r="F84" s="215">
        <f t="shared" si="14"/>
        <v>6164169.1200000001</v>
      </c>
      <c r="G84" s="215">
        <f t="shared" si="14"/>
        <v>5819681.5800000001</v>
      </c>
      <c r="H84" s="215">
        <f t="shared" si="14"/>
        <v>3249481.2700000005</v>
      </c>
      <c r="I84" s="215">
        <f t="shared" si="14"/>
        <v>2221932.5099999998</v>
      </c>
      <c r="J84" s="215">
        <f t="shared" si="14"/>
        <v>46090071.539999999</v>
      </c>
      <c r="K84" s="215">
        <f t="shared" si="14"/>
        <v>24985682.389999997</v>
      </c>
      <c r="L84" s="215">
        <f t="shared" si="14"/>
        <v>39294055.340000004</v>
      </c>
      <c r="M84" s="215">
        <f t="shared" si="14"/>
        <v>18189666.190000001</v>
      </c>
      <c r="N84" s="216"/>
      <c r="O84" s="216"/>
      <c r="P84" s="216"/>
      <c r="Q84" s="216"/>
      <c r="R84" s="216"/>
    </row>
    <row r="85" spans="1:18" s="71" customFormat="1" ht="21" customHeight="1">
      <c r="A85" s="72" t="s">
        <v>210</v>
      </c>
      <c r="B85" s="323" t="s">
        <v>216</v>
      </c>
      <c r="C85" s="324"/>
      <c r="D85" s="323" t="s">
        <v>212</v>
      </c>
      <c r="E85" s="324"/>
      <c r="F85" s="323" t="s">
        <v>213</v>
      </c>
      <c r="G85" s="324"/>
      <c r="H85" s="323" t="s">
        <v>211</v>
      </c>
      <c r="I85" s="324"/>
      <c r="J85" s="323" t="s">
        <v>214</v>
      </c>
      <c r="K85" s="324"/>
      <c r="L85" s="323" t="s">
        <v>217</v>
      </c>
      <c r="M85" s="307"/>
      <c r="N85" s="85"/>
      <c r="O85" s="85"/>
      <c r="P85" s="85"/>
      <c r="Q85" s="85"/>
      <c r="R85" s="85"/>
    </row>
    <row r="86" spans="1:18" s="71" customFormat="1" ht="21" customHeight="1">
      <c r="A86" s="101"/>
      <c r="B86" s="73" t="s">
        <v>10</v>
      </c>
      <c r="C86" s="102" t="s">
        <v>96</v>
      </c>
      <c r="D86" s="73" t="s">
        <v>10</v>
      </c>
      <c r="E86" s="102" t="s">
        <v>96</v>
      </c>
      <c r="F86" s="73" t="s">
        <v>10</v>
      </c>
      <c r="G86" s="102" t="s">
        <v>96</v>
      </c>
      <c r="H86" s="73" t="s">
        <v>10</v>
      </c>
      <c r="I86" s="74" t="s">
        <v>96</v>
      </c>
      <c r="J86" s="73" t="s">
        <v>10</v>
      </c>
      <c r="K86" s="102" t="s">
        <v>96</v>
      </c>
      <c r="L86" s="96" t="s">
        <v>10</v>
      </c>
      <c r="M86" s="102" t="s">
        <v>96</v>
      </c>
      <c r="N86" s="85"/>
      <c r="O86" s="85"/>
      <c r="P86" s="85"/>
      <c r="Q86" s="85"/>
      <c r="R86" s="85"/>
    </row>
    <row r="87" spans="1:18" s="71" customFormat="1" ht="21" customHeight="1">
      <c r="A87" s="88" t="s">
        <v>197</v>
      </c>
      <c r="B87" s="79">
        <v>410000</v>
      </c>
      <c r="C87" s="79">
        <v>0</v>
      </c>
      <c r="D87" s="79"/>
      <c r="E87" s="79"/>
      <c r="F87" s="79"/>
      <c r="G87" s="79"/>
      <c r="H87" s="79"/>
      <c r="I87" s="79">
        <v>410000</v>
      </c>
      <c r="J87" s="79">
        <f t="shared" si="11"/>
        <v>410000</v>
      </c>
      <c r="K87" s="79">
        <f t="shared" si="12"/>
        <v>410000</v>
      </c>
      <c r="L87" s="98">
        <f>+J87-K87</f>
        <v>0</v>
      </c>
      <c r="M87" s="98"/>
      <c r="N87" s="85"/>
      <c r="O87" s="85"/>
      <c r="P87" s="85"/>
      <c r="Q87" s="85"/>
      <c r="R87" s="85"/>
    </row>
    <row r="88" spans="1:18" s="71" customFormat="1" ht="21" customHeight="1">
      <c r="A88" s="88" t="s">
        <v>198</v>
      </c>
      <c r="B88" s="79"/>
      <c r="C88" s="79"/>
      <c r="D88" s="79"/>
      <c r="E88" s="79"/>
      <c r="F88" s="79"/>
      <c r="G88" s="79"/>
      <c r="H88" s="79"/>
      <c r="I88" s="79"/>
      <c r="J88" s="79">
        <f t="shared" si="11"/>
        <v>0</v>
      </c>
      <c r="K88" s="79">
        <f t="shared" si="12"/>
        <v>0</v>
      </c>
      <c r="L88" s="84"/>
      <c r="M88" s="98">
        <f t="shared" si="13"/>
        <v>0</v>
      </c>
      <c r="N88" s="85"/>
      <c r="O88" s="85"/>
      <c r="P88" s="85"/>
      <c r="Q88" s="85"/>
      <c r="R88" s="85"/>
    </row>
    <row r="89" spans="1:18" s="71" customFormat="1" ht="21" customHeight="1">
      <c r="A89" s="88" t="s">
        <v>199</v>
      </c>
      <c r="B89" s="79"/>
      <c r="C89" s="79"/>
      <c r="D89" s="79"/>
      <c r="E89" s="79"/>
      <c r="F89" s="79"/>
      <c r="G89" s="79"/>
      <c r="H89" s="79"/>
      <c r="I89" s="79"/>
      <c r="J89" s="79">
        <f t="shared" si="11"/>
        <v>0</v>
      </c>
      <c r="K89" s="79">
        <f t="shared" si="12"/>
        <v>0</v>
      </c>
      <c r="L89" s="84"/>
      <c r="M89" s="98">
        <f t="shared" si="13"/>
        <v>0</v>
      </c>
      <c r="N89" s="85"/>
      <c r="O89" s="85"/>
      <c r="P89" s="85"/>
      <c r="Q89" s="85"/>
      <c r="R89" s="85"/>
    </row>
    <row r="90" spans="1:18" s="71" customFormat="1" ht="21" customHeight="1">
      <c r="A90" s="91" t="s">
        <v>200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84"/>
      <c r="M90" s="98"/>
      <c r="N90" s="85"/>
      <c r="O90" s="85"/>
      <c r="P90" s="85"/>
      <c r="Q90" s="85"/>
      <c r="R90" s="85"/>
    </row>
    <row r="91" spans="1:18" s="71" customFormat="1" ht="21" customHeight="1">
      <c r="A91" s="88" t="s">
        <v>201</v>
      </c>
      <c r="B91" s="79"/>
      <c r="C91" s="79"/>
      <c r="D91" s="79"/>
      <c r="E91" s="79"/>
      <c r="F91" s="79">
        <v>802016</v>
      </c>
      <c r="G91" s="79">
        <v>802016</v>
      </c>
      <c r="H91" s="79"/>
      <c r="I91" s="79"/>
      <c r="J91" s="79">
        <f t="shared" si="11"/>
        <v>802016</v>
      </c>
      <c r="K91" s="79">
        <f t="shared" si="12"/>
        <v>802016</v>
      </c>
      <c r="L91" s="84"/>
      <c r="M91" s="98">
        <f t="shared" si="13"/>
        <v>0</v>
      </c>
      <c r="N91" s="85"/>
      <c r="O91" s="85"/>
      <c r="P91" s="85"/>
      <c r="Q91" s="85"/>
      <c r="R91" s="85"/>
    </row>
    <row r="92" spans="1:18" s="71" customFormat="1" ht="21" customHeight="1">
      <c r="A92" s="88" t="s">
        <v>202</v>
      </c>
      <c r="B92" s="79"/>
      <c r="C92" s="79">
        <v>4625.45</v>
      </c>
      <c r="D92" s="79">
        <v>4625.45</v>
      </c>
      <c r="E92" s="79">
        <v>1021.56</v>
      </c>
      <c r="F92" s="79">
        <v>10300.24</v>
      </c>
      <c r="G92" s="79">
        <v>9278.68</v>
      </c>
      <c r="H92" s="79"/>
      <c r="I92" s="79"/>
      <c r="J92" s="79">
        <f t="shared" si="11"/>
        <v>14925.689999999999</v>
      </c>
      <c r="K92" s="79">
        <f t="shared" si="12"/>
        <v>14925.69</v>
      </c>
      <c r="L92" s="84"/>
      <c r="M92" s="98">
        <f t="shared" si="13"/>
        <v>0</v>
      </c>
      <c r="N92" s="85"/>
      <c r="O92" s="85"/>
      <c r="P92" s="85"/>
      <c r="Q92" s="85"/>
      <c r="R92" s="85"/>
    </row>
    <row r="93" spans="1:18" s="71" customFormat="1" ht="21" customHeight="1">
      <c r="A93" s="88" t="s">
        <v>203</v>
      </c>
      <c r="B93" s="79"/>
      <c r="C93" s="79">
        <v>343055</v>
      </c>
      <c r="D93" s="79"/>
      <c r="E93" s="79">
        <v>900</v>
      </c>
      <c r="F93" s="79"/>
      <c r="G93" s="79">
        <v>344718.75</v>
      </c>
      <c r="H93" s="79">
        <f>125613</f>
        <v>125613</v>
      </c>
      <c r="I93" s="79"/>
      <c r="J93" s="79">
        <f t="shared" si="11"/>
        <v>125613</v>
      </c>
      <c r="K93" s="79">
        <f t="shared" si="12"/>
        <v>688673.75</v>
      </c>
      <c r="L93" s="84"/>
      <c r="M93" s="98">
        <f t="shared" si="13"/>
        <v>563060.75</v>
      </c>
      <c r="N93" s="85"/>
      <c r="O93" s="85"/>
      <c r="P93" s="85"/>
      <c r="Q93" s="85"/>
      <c r="R93" s="85"/>
    </row>
    <row r="94" spans="1:18" s="71" customFormat="1" ht="21" customHeight="1">
      <c r="A94" s="88" t="s">
        <v>372</v>
      </c>
      <c r="B94" s="79"/>
      <c r="C94" s="79"/>
      <c r="D94" s="79"/>
      <c r="E94" s="79"/>
      <c r="F94" s="79"/>
      <c r="G94" s="79"/>
      <c r="H94" s="79"/>
      <c r="I94" s="79">
        <f>6300</f>
        <v>6300</v>
      </c>
      <c r="J94" s="79">
        <f t="shared" si="11"/>
        <v>0</v>
      </c>
      <c r="K94" s="79">
        <f t="shared" si="12"/>
        <v>6300</v>
      </c>
      <c r="L94" s="84"/>
      <c r="M94" s="98">
        <f t="shared" si="13"/>
        <v>6300</v>
      </c>
      <c r="N94" s="85"/>
      <c r="O94" s="85"/>
      <c r="P94" s="85"/>
      <c r="Q94" s="85"/>
      <c r="R94" s="85"/>
    </row>
    <row r="95" spans="1:18" s="71" customFormat="1" ht="21" customHeight="1">
      <c r="A95" s="88" t="s">
        <v>204</v>
      </c>
      <c r="B95" s="79"/>
      <c r="C95" s="79">
        <v>1294.54</v>
      </c>
      <c r="D95" s="79"/>
      <c r="E95" s="79">
        <v>377.9</v>
      </c>
      <c r="F95" s="79"/>
      <c r="G95" s="79">
        <v>359.25</v>
      </c>
      <c r="H95" s="79"/>
      <c r="I95" s="79"/>
      <c r="J95" s="79">
        <f t="shared" si="11"/>
        <v>0</v>
      </c>
      <c r="K95" s="79">
        <f t="shared" si="12"/>
        <v>2031.69</v>
      </c>
      <c r="L95" s="84"/>
      <c r="M95" s="98">
        <f t="shared" si="13"/>
        <v>2031.69</v>
      </c>
      <c r="N95" s="85"/>
      <c r="O95" s="85"/>
      <c r="P95" s="85"/>
      <c r="Q95" s="85"/>
      <c r="R95" s="85"/>
    </row>
    <row r="96" spans="1:18" s="71" customFormat="1" ht="21" customHeight="1">
      <c r="A96" s="88" t="s">
        <v>205</v>
      </c>
      <c r="B96" s="79"/>
      <c r="C96" s="79">
        <v>16986.05</v>
      </c>
      <c r="D96" s="79"/>
      <c r="E96" s="79">
        <v>453.48</v>
      </c>
      <c r="F96" s="79"/>
      <c r="G96" s="79">
        <v>431.1</v>
      </c>
      <c r="H96" s="79"/>
      <c r="I96" s="79"/>
      <c r="J96" s="79">
        <f t="shared" si="11"/>
        <v>0</v>
      </c>
      <c r="K96" s="79">
        <f t="shared" si="12"/>
        <v>17870.629999999997</v>
      </c>
      <c r="L96" s="84"/>
      <c r="M96" s="98">
        <f t="shared" si="13"/>
        <v>17870.629999999997</v>
      </c>
      <c r="N96" s="85"/>
      <c r="O96" s="85"/>
      <c r="P96" s="85"/>
      <c r="Q96" s="85"/>
      <c r="R96" s="85"/>
    </row>
    <row r="97" spans="1:18" s="71" customFormat="1" ht="21" customHeight="1">
      <c r="A97" s="88" t="s">
        <v>206</v>
      </c>
      <c r="B97" s="79"/>
      <c r="C97" s="79">
        <v>122675.6</v>
      </c>
      <c r="D97" s="79"/>
      <c r="E97" s="79"/>
      <c r="F97" s="79"/>
      <c r="G97" s="79"/>
      <c r="H97" s="79">
        <v>225087</v>
      </c>
      <c r="I97" s="79">
        <f>166432.94</f>
        <v>166432.94</v>
      </c>
      <c r="J97" s="79">
        <f t="shared" si="11"/>
        <v>225087</v>
      </c>
      <c r="K97" s="79">
        <f t="shared" si="12"/>
        <v>289108.54000000004</v>
      </c>
      <c r="L97" s="84"/>
      <c r="M97" s="98">
        <f t="shared" si="13"/>
        <v>64021.540000000037</v>
      </c>
      <c r="N97" s="85"/>
      <c r="O97" s="85"/>
      <c r="P97" s="85"/>
      <c r="Q97" s="85"/>
      <c r="R97" s="85"/>
    </row>
    <row r="98" spans="1:18" s="71" customFormat="1" ht="21" customHeight="1">
      <c r="A98" s="88" t="s">
        <v>65</v>
      </c>
      <c r="B98" s="79"/>
      <c r="C98" s="79">
        <v>21564877.02</v>
      </c>
      <c r="D98" s="79"/>
      <c r="E98" s="79"/>
      <c r="F98" s="79"/>
      <c r="G98" s="79"/>
      <c r="H98" s="79">
        <f>282.21</f>
        <v>282.20999999999998</v>
      </c>
      <c r="I98" s="79">
        <f>676485.03+119313</f>
        <v>795798.03</v>
      </c>
      <c r="J98" s="79">
        <f t="shared" si="11"/>
        <v>282.20999999999998</v>
      </c>
      <c r="K98" s="79">
        <f t="shared" si="12"/>
        <v>22360675.050000001</v>
      </c>
      <c r="L98" s="84"/>
      <c r="M98" s="98">
        <f t="shared" si="13"/>
        <v>22360392.84</v>
      </c>
      <c r="N98" s="85"/>
      <c r="O98" s="85"/>
      <c r="P98" s="85"/>
      <c r="Q98" s="85"/>
      <c r="R98" s="85"/>
    </row>
    <row r="99" spans="1:18" s="71" customFormat="1" ht="21" customHeight="1">
      <c r="A99" s="88" t="s">
        <v>244</v>
      </c>
      <c r="B99" s="79">
        <v>1909288.3</v>
      </c>
      <c r="C99" s="79"/>
      <c r="D99" s="79"/>
      <c r="E99" s="79"/>
      <c r="F99" s="79"/>
      <c r="G99" s="79"/>
      <c r="H99" s="79"/>
      <c r="I99" s="79"/>
      <c r="J99" s="79">
        <f t="shared" si="11"/>
        <v>1909288.3</v>
      </c>
      <c r="K99" s="79"/>
      <c r="L99" s="98">
        <f>+J99-K99</f>
        <v>1909288.3</v>
      </c>
      <c r="M99" s="84"/>
      <c r="N99" s="85"/>
      <c r="O99" s="85"/>
      <c r="P99" s="85"/>
      <c r="Q99" s="85"/>
      <c r="R99" s="85"/>
    </row>
    <row r="100" spans="1:18" s="71" customFormat="1" ht="21" customHeight="1">
      <c r="A100" s="88" t="s">
        <v>207</v>
      </c>
      <c r="B100" s="79"/>
      <c r="C100" s="79"/>
      <c r="D100" s="79"/>
      <c r="E100" s="79"/>
      <c r="F100" s="79"/>
      <c r="G100" s="79"/>
      <c r="H100" s="79"/>
      <c r="I100" s="79"/>
      <c r="J100" s="79">
        <f t="shared" si="11"/>
        <v>0</v>
      </c>
      <c r="K100" s="79">
        <f t="shared" si="12"/>
        <v>0</v>
      </c>
      <c r="L100" s="98">
        <f>+J100-K100</f>
        <v>0</v>
      </c>
      <c r="M100" s="84"/>
      <c r="N100" s="85"/>
      <c r="O100" s="85"/>
      <c r="P100" s="85"/>
      <c r="Q100" s="85"/>
      <c r="R100" s="85"/>
    </row>
    <row r="101" spans="1:18" s="71" customFormat="1" ht="21" customHeight="1">
      <c r="A101" s="88" t="s">
        <v>208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84"/>
      <c r="M101" s="98">
        <f>+K101-J101</f>
        <v>0</v>
      </c>
      <c r="N101" s="85"/>
      <c r="O101" s="85"/>
      <c r="P101" s="85"/>
      <c r="Q101" s="85"/>
      <c r="R101" s="85"/>
    </row>
    <row r="102" spans="1:18" s="71" customFormat="1" ht="21" customHeight="1">
      <c r="A102" s="90" t="s">
        <v>209</v>
      </c>
      <c r="B102" s="92"/>
      <c r="C102" s="92"/>
      <c r="D102" s="92"/>
      <c r="E102" s="92"/>
      <c r="F102" s="92"/>
      <c r="G102" s="92"/>
      <c r="H102" s="92"/>
      <c r="I102" s="92"/>
      <c r="J102" s="87">
        <f>+B102+D102+F102+H102</f>
        <v>0</v>
      </c>
      <c r="K102" s="87">
        <f>+C102+E102+G102+I102</f>
        <v>0</v>
      </c>
      <c r="L102" s="86"/>
      <c r="M102" s="86"/>
      <c r="N102" s="85"/>
      <c r="O102" s="85"/>
      <c r="P102" s="85"/>
      <c r="Q102" s="85"/>
      <c r="R102" s="85"/>
    </row>
    <row r="103" spans="1:18" s="127" customFormat="1" ht="21" customHeight="1">
      <c r="A103" s="131" t="s">
        <v>9</v>
      </c>
      <c r="B103" s="132">
        <f>SUM(B84:B102)</f>
        <v>37795514.309999995</v>
      </c>
      <c r="C103" s="132">
        <f t="shared" ref="C103:M103" si="15">SUM(C84:C102)</f>
        <v>37795514.309999995</v>
      </c>
      <c r="D103" s="132">
        <f t="shared" si="15"/>
        <v>1204820.5900000001</v>
      </c>
      <c r="E103" s="132">
        <f t="shared" si="15"/>
        <v>1204820.5900000001</v>
      </c>
      <c r="F103" s="132">
        <f t="shared" si="15"/>
        <v>6976485.3600000003</v>
      </c>
      <c r="G103" s="132">
        <f t="shared" si="15"/>
        <v>6976485.3599999994</v>
      </c>
      <c r="H103" s="132">
        <f t="shared" si="15"/>
        <v>3600463.4800000004</v>
      </c>
      <c r="I103" s="132">
        <f t="shared" si="15"/>
        <v>3600463.4799999995</v>
      </c>
      <c r="J103" s="132">
        <f t="shared" si="15"/>
        <v>49577283.739999995</v>
      </c>
      <c r="K103" s="132">
        <f t="shared" si="15"/>
        <v>49577283.739999995</v>
      </c>
      <c r="L103" s="132">
        <f t="shared" si="15"/>
        <v>41203343.640000001</v>
      </c>
      <c r="M103" s="132">
        <f t="shared" si="15"/>
        <v>41203343.640000001</v>
      </c>
      <c r="N103" s="210"/>
      <c r="O103" s="209"/>
      <c r="P103" s="209"/>
      <c r="Q103" s="209"/>
      <c r="R103" s="209"/>
    </row>
    <row r="104" spans="1:18" ht="21" customHeight="1">
      <c r="B104" s="71"/>
      <c r="C104" s="71"/>
      <c r="D104" s="71"/>
      <c r="E104" s="71"/>
      <c r="F104" s="71"/>
      <c r="G104" s="71"/>
      <c r="H104" s="71"/>
      <c r="I104" s="71"/>
      <c r="J104" s="85"/>
      <c r="K104" s="85"/>
      <c r="L104" s="71"/>
      <c r="M104" s="71"/>
      <c r="N104" s="85"/>
      <c r="O104" s="85"/>
      <c r="P104" s="85"/>
      <c r="Q104" s="85"/>
      <c r="R104" s="85"/>
    </row>
    <row r="105" spans="1:18" s="93" customFormat="1" ht="21" customHeight="1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1:18" s="93" customFormat="1" ht="24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160"/>
      <c r="M106" s="85"/>
      <c r="N106" s="85"/>
      <c r="O106" s="85"/>
      <c r="P106" s="85"/>
      <c r="Q106" s="85"/>
      <c r="R106" s="85"/>
    </row>
    <row r="107" spans="1:18" s="93" customFormat="1" ht="24">
      <c r="B107" s="85"/>
      <c r="C107" s="85"/>
      <c r="D107" s="85"/>
      <c r="E107" s="85"/>
      <c r="F107" s="85"/>
      <c r="G107" s="85"/>
      <c r="H107" s="85"/>
      <c r="I107" s="160"/>
      <c r="J107" s="85"/>
      <c r="K107" s="160"/>
      <c r="L107" s="85"/>
      <c r="M107" s="160"/>
      <c r="N107" s="85"/>
      <c r="O107" s="85"/>
      <c r="P107" s="85"/>
      <c r="Q107" s="85"/>
      <c r="R107" s="85"/>
    </row>
    <row r="108" spans="1:18" s="93" customFormat="1" ht="24">
      <c r="B108" s="85"/>
      <c r="C108" s="85"/>
      <c r="D108" s="85"/>
      <c r="E108" s="85"/>
      <c r="F108" s="85"/>
      <c r="G108" s="85"/>
      <c r="H108" s="85"/>
      <c r="I108" s="207"/>
      <c r="J108" s="208"/>
      <c r="K108" s="85"/>
      <c r="L108" s="85"/>
      <c r="M108" s="85"/>
      <c r="N108" s="85"/>
      <c r="O108" s="85"/>
      <c r="P108" s="85"/>
      <c r="Q108" s="85"/>
      <c r="R108" s="85"/>
    </row>
    <row r="109" spans="1:18" s="93" customFormat="1" ht="24">
      <c r="B109" s="85"/>
      <c r="C109" s="85"/>
      <c r="D109" s="85"/>
      <c r="E109" s="85"/>
      <c r="F109" s="85"/>
      <c r="G109" s="85"/>
      <c r="H109" s="85"/>
      <c r="I109" s="207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1:18" s="93" customFormat="1" ht="24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</row>
    <row r="111" spans="1:18" s="93" customFormat="1" ht="24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</row>
    <row r="112" spans="1:18" ht="24">
      <c r="B112" s="71"/>
      <c r="C112" s="71"/>
      <c r="D112" s="71"/>
      <c r="E112" s="71"/>
      <c r="F112" s="71"/>
      <c r="G112" s="71"/>
      <c r="H112" s="71"/>
      <c r="I112" s="71"/>
      <c r="J112" s="85"/>
      <c r="K112" s="85"/>
      <c r="L112" s="71"/>
      <c r="M112" s="71"/>
      <c r="N112" s="85"/>
      <c r="O112" s="85"/>
      <c r="P112" s="85"/>
      <c r="Q112" s="85"/>
      <c r="R112" s="85"/>
    </row>
    <row r="113" spans="2:18" ht="24">
      <c r="B113" s="71"/>
      <c r="C113" s="71"/>
      <c r="D113" s="71"/>
      <c r="E113" s="71"/>
      <c r="F113" s="71"/>
      <c r="G113" s="71"/>
      <c r="H113" s="71"/>
      <c r="I113" s="71"/>
      <c r="J113" s="85"/>
      <c r="K113" s="85"/>
      <c r="L113" s="71"/>
      <c r="M113" s="71"/>
      <c r="N113" s="85"/>
      <c r="O113" s="85"/>
      <c r="P113" s="85"/>
      <c r="Q113" s="85"/>
      <c r="R113" s="85"/>
    </row>
    <row r="114" spans="2:18">
      <c r="J114" s="93"/>
      <c r="K114" s="93"/>
    </row>
    <row r="115" spans="2:18">
      <c r="J115" s="93"/>
      <c r="K115" s="93"/>
    </row>
    <row r="116" spans="2:18">
      <c r="J116" s="93"/>
      <c r="K116" s="93"/>
    </row>
  </sheetData>
  <mergeCells count="25">
    <mergeCell ref="B57:C57"/>
    <mergeCell ref="D57:E57"/>
    <mergeCell ref="F57:G57"/>
    <mergeCell ref="H57:I57"/>
    <mergeCell ref="A1:I1"/>
    <mergeCell ref="B2:C2"/>
    <mergeCell ref="D2:E2"/>
    <mergeCell ref="F2:G2"/>
    <mergeCell ref="H2:I2"/>
    <mergeCell ref="B29:C29"/>
    <mergeCell ref="D29:E29"/>
    <mergeCell ref="F29:G29"/>
    <mergeCell ref="H29:I29"/>
    <mergeCell ref="L2:M2"/>
    <mergeCell ref="J2:K2"/>
    <mergeCell ref="J29:K29"/>
    <mergeCell ref="L29:M29"/>
    <mergeCell ref="J57:K57"/>
    <mergeCell ref="L57:M57"/>
    <mergeCell ref="L85:M85"/>
    <mergeCell ref="B85:C85"/>
    <mergeCell ref="D85:E85"/>
    <mergeCell ref="F85:G85"/>
    <mergeCell ref="H85:I85"/>
    <mergeCell ref="J85:K85"/>
  </mergeCells>
  <pageMargins left="0.2" right="0.2" top="0.25" bottom="0.25" header="0.3" footer="0.3"/>
  <pageSetup scale="9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topLeftCell="A19" workbookViewId="0">
      <selection activeCell="D26" sqref="D26"/>
    </sheetView>
  </sheetViews>
  <sheetFormatPr defaultRowHeight="22.5"/>
  <cols>
    <col min="1" max="1" width="47" style="1" customWidth="1"/>
    <col min="2" max="2" width="9.625" style="1" customWidth="1"/>
    <col min="3" max="4" width="13.75" style="1" customWidth="1"/>
    <col min="5" max="16384" width="9" style="1"/>
  </cols>
  <sheetData>
    <row r="1" spans="1:4" ht="23.25">
      <c r="A1" s="326" t="s">
        <v>339</v>
      </c>
      <c r="B1" s="326"/>
      <c r="C1" s="326"/>
      <c r="D1" s="326"/>
    </row>
    <row r="2" spans="1:4" ht="23.25">
      <c r="A2" s="326" t="s">
        <v>220</v>
      </c>
      <c r="B2" s="326"/>
      <c r="C2" s="326"/>
      <c r="D2" s="326"/>
    </row>
    <row r="3" spans="1:4" ht="23.25">
      <c r="A3" s="327" t="s">
        <v>221</v>
      </c>
      <c r="B3" s="327"/>
      <c r="C3" s="327"/>
      <c r="D3" s="327"/>
    </row>
    <row r="4" spans="1:4">
      <c r="A4" s="100" t="s">
        <v>2</v>
      </c>
      <c r="B4" s="8" t="s">
        <v>107</v>
      </c>
      <c r="C4" s="117" t="s">
        <v>10</v>
      </c>
      <c r="D4" s="8" t="s">
        <v>96</v>
      </c>
    </row>
    <row r="5" spans="1:4">
      <c r="A5" s="187" t="s">
        <v>222</v>
      </c>
      <c r="B5" s="188"/>
      <c r="C5" s="189">
        <v>7538465.6900000004</v>
      </c>
      <c r="D5" s="190"/>
    </row>
    <row r="6" spans="1:4">
      <c r="A6" s="191" t="s">
        <v>223</v>
      </c>
      <c r="B6" s="192"/>
      <c r="C6" s="193">
        <v>5524225.9400000004</v>
      </c>
      <c r="D6" s="194"/>
    </row>
    <row r="7" spans="1:4">
      <c r="A7" s="191" t="s">
        <v>224</v>
      </c>
      <c r="B7" s="192"/>
      <c r="C7" s="193">
        <v>606573.25</v>
      </c>
      <c r="D7" s="194"/>
    </row>
    <row r="8" spans="1:4">
      <c r="A8" s="191" t="s">
        <v>225</v>
      </c>
      <c r="B8" s="192"/>
      <c r="C8" s="193">
        <v>0</v>
      </c>
      <c r="D8" s="194"/>
    </row>
    <row r="9" spans="1:4">
      <c r="A9" s="191" t="s">
        <v>226</v>
      </c>
      <c r="B9" s="192"/>
      <c r="C9" s="193">
        <v>64021.54</v>
      </c>
      <c r="D9" s="194"/>
    </row>
    <row r="10" spans="1:4">
      <c r="A10" s="191" t="s">
        <v>227</v>
      </c>
      <c r="B10" s="192"/>
      <c r="C10" s="193">
        <v>1676690.13</v>
      </c>
      <c r="D10" s="194"/>
    </row>
    <row r="11" spans="1:4">
      <c r="A11" s="191" t="s">
        <v>228</v>
      </c>
      <c r="B11" s="192"/>
      <c r="C11" s="193">
        <v>13425803.43</v>
      </c>
      <c r="D11" s="194"/>
    </row>
    <row r="12" spans="1:4">
      <c r="A12" s="191" t="s">
        <v>229</v>
      </c>
      <c r="B12" s="192"/>
      <c r="C12" s="193">
        <v>0</v>
      </c>
      <c r="D12" s="194"/>
    </row>
    <row r="13" spans="1:4">
      <c r="A13" s="191" t="s">
        <v>230</v>
      </c>
      <c r="B13" s="192"/>
      <c r="C13" s="193">
        <v>0</v>
      </c>
      <c r="D13" s="194"/>
    </row>
    <row r="14" spans="1:4">
      <c r="A14" s="191" t="s">
        <v>231</v>
      </c>
      <c r="B14" s="192"/>
      <c r="C14" s="193">
        <v>0</v>
      </c>
      <c r="D14" s="194"/>
    </row>
    <row r="15" spans="1:4">
      <c r="A15" s="191" t="s">
        <v>162</v>
      </c>
      <c r="B15" s="192"/>
      <c r="C15" s="193">
        <v>1.1399999999999999</v>
      </c>
      <c r="D15" s="194"/>
    </row>
    <row r="16" spans="1:4">
      <c r="A16" s="191" t="s">
        <v>165</v>
      </c>
      <c r="B16" s="192"/>
      <c r="C16" s="193">
        <v>9670</v>
      </c>
      <c r="D16" s="194"/>
    </row>
    <row r="17" spans="1:4">
      <c r="A17" s="191" t="s">
        <v>197</v>
      </c>
      <c r="B17" s="192"/>
      <c r="C17" s="193">
        <v>0</v>
      </c>
      <c r="D17" s="194"/>
    </row>
    <row r="18" spans="1:4">
      <c r="A18" s="191" t="s">
        <v>64</v>
      </c>
      <c r="B18" s="192"/>
      <c r="C18" s="193"/>
      <c r="D18" s="194">
        <f>866285.03-3600-676485.03+1604000+94000+158000</f>
        <v>2042200</v>
      </c>
    </row>
    <row r="19" spans="1:4">
      <c r="A19" s="191" t="s">
        <v>232</v>
      </c>
      <c r="B19" s="192"/>
      <c r="C19" s="193"/>
      <c r="D19" s="194">
        <v>10000</v>
      </c>
    </row>
    <row r="20" spans="1:4">
      <c r="A20" s="191" t="s">
        <v>233</v>
      </c>
      <c r="B20" s="192"/>
      <c r="C20" s="193"/>
      <c r="D20" s="194">
        <v>606573.25</v>
      </c>
    </row>
    <row r="21" spans="1:4">
      <c r="A21" s="191" t="s">
        <v>67</v>
      </c>
      <c r="B21" s="192"/>
      <c r="C21" s="193"/>
      <c r="D21" s="194">
        <v>563060.75</v>
      </c>
    </row>
    <row r="22" spans="1:4">
      <c r="A22" s="191" t="s">
        <v>103</v>
      </c>
      <c r="B22" s="192"/>
      <c r="C22" s="193"/>
      <c r="D22" s="194">
        <v>6300</v>
      </c>
    </row>
    <row r="23" spans="1:4">
      <c r="A23" s="191" t="s">
        <v>68</v>
      </c>
      <c r="B23" s="192"/>
      <c r="C23" s="193"/>
      <c r="D23" s="194">
        <v>2031.69</v>
      </c>
    </row>
    <row r="24" spans="1:4">
      <c r="A24" s="191" t="s">
        <v>234</v>
      </c>
      <c r="B24" s="192"/>
      <c r="C24" s="193"/>
      <c r="D24" s="194">
        <v>17870.63</v>
      </c>
    </row>
    <row r="25" spans="1:4">
      <c r="A25" s="191" t="s">
        <v>235</v>
      </c>
      <c r="B25" s="192"/>
      <c r="C25" s="193"/>
      <c r="D25" s="194">
        <v>64021.54</v>
      </c>
    </row>
    <row r="26" spans="1:4">
      <c r="A26" s="191" t="s">
        <v>236</v>
      </c>
      <c r="B26" s="192"/>
      <c r="C26" s="193"/>
      <c r="D26" s="194">
        <f>854797.61+1056871.78</f>
        <v>1911669.3900000001</v>
      </c>
    </row>
    <row r="27" spans="1:4">
      <c r="A27" s="191" t="s">
        <v>65</v>
      </c>
      <c r="B27" s="192"/>
      <c r="C27" s="193"/>
      <c r="D27" s="194">
        <f>+งบเงินสะสม!D14</f>
        <v>23621723.872499999</v>
      </c>
    </row>
    <row r="28" spans="1:4">
      <c r="A28" s="113"/>
      <c r="B28" s="115"/>
      <c r="C28" s="114"/>
      <c r="D28" s="116"/>
    </row>
    <row r="29" spans="1:4">
      <c r="A29" s="113"/>
      <c r="B29" s="115"/>
      <c r="C29" s="114"/>
      <c r="D29" s="116"/>
    </row>
    <row r="30" spans="1:4" ht="23.25">
      <c r="A30" s="136" t="s">
        <v>9</v>
      </c>
      <c r="B30" s="149"/>
      <c r="C30" s="148">
        <f>SUM(C5:C27)</f>
        <v>28845451.120000001</v>
      </c>
      <c r="D30" s="148">
        <f>SUM(D18:D29)</f>
        <v>28845451.122499999</v>
      </c>
    </row>
    <row r="31" spans="1:4">
      <c r="C31" s="112"/>
      <c r="D31" s="112"/>
    </row>
    <row r="32" spans="1:4">
      <c r="C32" s="112"/>
      <c r="D32" s="112"/>
    </row>
    <row r="33" spans="3:4">
      <c r="C33" s="112"/>
      <c r="D33" s="112">
        <f>+C30-D30</f>
        <v>-2.499997615814209E-3</v>
      </c>
    </row>
    <row r="34" spans="3:4">
      <c r="C34" s="112"/>
      <c r="D34" s="112"/>
    </row>
    <row r="35" spans="3:4">
      <c r="C35" s="112"/>
      <c r="D35" s="112"/>
    </row>
    <row r="36" spans="3:4">
      <c r="C36" s="112"/>
      <c r="D36" s="112"/>
    </row>
    <row r="37" spans="3:4">
      <c r="C37" s="112"/>
      <c r="D37" s="112"/>
    </row>
    <row r="38" spans="3:4">
      <c r="C38" s="112"/>
      <c r="D38" s="112"/>
    </row>
    <row r="39" spans="3:4">
      <c r="C39" s="112"/>
      <c r="D39" s="112"/>
    </row>
    <row r="40" spans="3:4">
      <c r="C40" s="112"/>
      <c r="D40" s="112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0" sqref="D10"/>
    </sheetView>
  </sheetViews>
  <sheetFormatPr defaultRowHeight="22.5"/>
  <cols>
    <col min="1" max="1" width="5.5" style="1" customWidth="1"/>
    <col min="2" max="2" width="45.375" style="1" customWidth="1"/>
    <col min="3" max="4" width="14.75" style="1" customWidth="1"/>
    <col min="5" max="5" width="11.625" style="1" customWidth="1"/>
    <col min="6" max="16384" width="9" style="1"/>
  </cols>
  <sheetData>
    <row r="1" spans="1:5" ht="23.25">
      <c r="A1" s="326" t="s">
        <v>339</v>
      </c>
      <c r="B1" s="326"/>
      <c r="C1" s="326"/>
      <c r="D1" s="326"/>
    </row>
    <row r="2" spans="1:5" ht="23.25">
      <c r="A2" s="326" t="s">
        <v>237</v>
      </c>
      <c r="B2" s="326"/>
      <c r="C2" s="326"/>
      <c r="D2" s="326"/>
    </row>
    <row r="3" spans="1:5" ht="23.25">
      <c r="A3" s="326" t="s">
        <v>221</v>
      </c>
      <c r="B3" s="326"/>
      <c r="C3" s="326"/>
      <c r="D3" s="326"/>
    </row>
    <row r="5" spans="1:5">
      <c r="A5" s="1" t="s">
        <v>238</v>
      </c>
      <c r="C5" s="112"/>
      <c r="D5" s="112">
        <v>21564877.02</v>
      </c>
      <c r="E5" s="112"/>
    </row>
    <row r="6" spans="1:5">
      <c r="B6" s="1" t="s">
        <v>240</v>
      </c>
      <c r="C6" s="112">
        <f>+[1]รับจ่ายจริง51!$C$47</f>
        <v>4227491.1100000013</v>
      </c>
      <c r="D6" s="112"/>
      <c r="E6" s="112"/>
    </row>
    <row r="7" spans="1:5" ht="24.75">
      <c r="B7" s="1" t="s">
        <v>239</v>
      </c>
      <c r="C7" s="121">
        <f>+[1]รับจ่ายจริง51!$C$48</f>
        <v>1056871.7775000003</v>
      </c>
      <c r="D7" s="112"/>
      <c r="E7" s="112"/>
    </row>
    <row r="8" spans="1:5" ht="24.75">
      <c r="A8" s="118" t="s">
        <v>241</v>
      </c>
      <c r="B8" s="1" t="s">
        <v>242</v>
      </c>
      <c r="C8" s="112">
        <f>+C6-C7</f>
        <v>3170619.3325000009</v>
      </c>
      <c r="D8" s="121"/>
      <c r="E8" s="112"/>
    </row>
    <row r="9" spans="1:5" ht="23.25">
      <c r="A9" s="118"/>
      <c r="B9" s="1" t="s">
        <v>311</v>
      </c>
      <c r="C9" s="112">
        <v>676485.03</v>
      </c>
      <c r="D9" s="112"/>
      <c r="E9" s="112"/>
    </row>
    <row r="10" spans="1:5" ht="24.75">
      <c r="A10" s="118"/>
      <c r="B10" s="1" t="s">
        <v>373</v>
      </c>
      <c r="C10" s="121">
        <v>119313</v>
      </c>
      <c r="D10" s="121">
        <f>+C8+C9+C10</f>
        <v>3966417.3625000007</v>
      </c>
      <c r="E10" s="112"/>
    </row>
    <row r="11" spans="1:5">
      <c r="C11" s="112"/>
      <c r="D11" s="112">
        <f>+D5+D10</f>
        <v>25531294.3825</v>
      </c>
      <c r="E11" s="112"/>
    </row>
    <row r="12" spans="1:5" ht="23.25">
      <c r="A12" s="118" t="s">
        <v>243</v>
      </c>
      <c r="B12" s="1" t="s">
        <v>244</v>
      </c>
      <c r="C12" s="114">
        <v>1909288.3</v>
      </c>
      <c r="D12" s="114"/>
      <c r="E12" s="112"/>
    </row>
    <row r="13" spans="1:5" ht="24.75">
      <c r="A13" s="118"/>
      <c r="B13" s="1" t="s">
        <v>371</v>
      </c>
      <c r="C13" s="183">
        <v>282.20999999999998</v>
      </c>
      <c r="D13" s="183">
        <f>+C12+C13</f>
        <v>1909570.51</v>
      </c>
      <c r="E13" s="112"/>
    </row>
    <row r="14" spans="1:5" ht="24" thickBot="1">
      <c r="A14" s="119" t="s">
        <v>245</v>
      </c>
      <c r="B14" s="119"/>
      <c r="C14" s="120"/>
      <c r="D14" s="122">
        <f>+D11-D13</f>
        <v>23621723.872499999</v>
      </c>
      <c r="E14" s="112"/>
    </row>
    <row r="15" spans="1:5" ht="23.25" thickTop="1">
      <c r="C15" s="112"/>
      <c r="D15" s="112"/>
      <c r="E15" s="112"/>
    </row>
    <row r="16" spans="1:5">
      <c r="C16" s="112"/>
      <c r="D16" s="112"/>
      <c r="E16" s="112"/>
    </row>
    <row r="17" spans="3:5">
      <c r="C17" s="112"/>
      <c r="D17" s="112"/>
      <c r="E17" s="112"/>
    </row>
    <row r="18" spans="3:5">
      <c r="C18" s="112"/>
      <c r="D18" s="112"/>
      <c r="E18" s="112"/>
    </row>
    <row r="19" spans="3:5">
      <c r="C19" s="112"/>
      <c r="D19" s="112"/>
      <c r="E19" s="112"/>
    </row>
    <row r="20" spans="3:5">
      <c r="C20" s="112"/>
      <c r="D20" s="112"/>
      <c r="E20" s="112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29</vt:i4>
      </vt:variant>
    </vt:vector>
  </HeadingPairs>
  <TitlesOfParts>
    <vt:vector size="29" baseType="lpstr">
      <vt:lpstr>มาตรฐาน3</vt:lpstr>
      <vt:lpstr>มาตรฐาน2</vt:lpstr>
      <vt:lpstr>มาตรฐาน1</vt:lpstr>
      <vt:lpstr>รายการปรับปรุง</vt:lpstr>
      <vt:lpstr>ปรับปรุง51</vt:lpstr>
      <vt:lpstr>ปรับปรุง53</vt:lpstr>
      <vt:lpstr>สรุป51</vt:lpstr>
      <vt:lpstr>งบทดลองหลังปิดบัญชี51</vt:lpstr>
      <vt:lpstr>งบเงินสะสม</vt:lpstr>
      <vt:lpstr>ค้าง51จ่าย52</vt:lpstr>
      <vt:lpstr>ค้าง50จ่าย51</vt:lpstr>
      <vt:lpstr>ค้าง31ก.ค.51</vt:lpstr>
      <vt:lpstr>รายงานจ่ายเงินสะสม</vt:lpstr>
      <vt:lpstr>Sheet1</vt:lpstr>
      <vt:lpstr>กระทบยอด</vt:lpstr>
      <vt:lpstr>Sheet2</vt:lpstr>
      <vt:lpstr>ทรัพย์สิน50</vt:lpstr>
      <vt:lpstr>ทรัพย์สิน51</vt:lpstr>
      <vt:lpstr>ทรัพย์สิน52</vt:lpstr>
      <vt:lpstr>ทรัพย์สิน53</vt:lpstr>
      <vt:lpstr>ทรัพย์สิน54</vt:lpstr>
      <vt:lpstr>ทรัพย์สิน55</vt:lpstr>
      <vt:lpstr>ทรัพย์สิน51(แก้ไข)</vt:lpstr>
      <vt:lpstr>ประกอบทรัพย์สินแก้ไข</vt:lpstr>
      <vt:lpstr>งบแสดงฐานะการเงิน</vt:lpstr>
      <vt:lpstr>หมายเหตุ1</vt:lpstr>
      <vt:lpstr>Sheet4</vt:lpstr>
      <vt:lpstr>Sheet5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9com</dc:creator>
  <cp:lastModifiedBy>9com</cp:lastModifiedBy>
  <cp:lastPrinted>2013-06-04T07:20:09Z</cp:lastPrinted>
  <dcterms:created xsi:type="dcterms:W3CDTF">2013-03-01T21:00:45Z</dcterms:created>
  <dcterms:modified xsi:type="dcterms:W3CDTF">2013-06-04T07:20:21Z</dcterms:modified>
</cp:coreProperties>
</file>